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fileSharing readOnlyRecommended="1" userName="s273689" algorithmName="SHA-512" hashValue="SkrbFjhb9F0PgCUD1TrjiSwYx6kEr9io0sQYeFuo+KwAxxwPNEr8SF798yaCa0XcXP8IsZbTKwLEk8OfAUu4hw==" saltValue="/EH0j+1xkzwdNNJS1Fhr9g==" spinCount="100000"/>
  <workbookPr filterPrivacy="1" showInkAnnotation="0" codeName="ThisWorkbook" defaultThemeVersion="124226"/>
  <xr:revisionPtr revIDLastSave="0" documentId="8_{4B4D4EAD-D90A-45BF-BACC-8D5DFD0F409B}" xr6:coauthVersionLast="47" xr6:coauthVersionMax="47" xr10:uidLastSave="{00000000-0000-0000-0000-000000000000}"/>
  <bookViews>
    <workbookView xWindow="-120" yWindow="-120" windowWidth="29040" windowHeight="15720" tabRatio="1000" xr2:uid="{00000000-000D-0000-FFFF-FFFF00000000}"/>
  </bookViews>
  <sheets>
    <sheet name="TCOS" sheetId="2" r:id="rId1"/>
    <sheet name="WS A - RB Support" sheetId="35" r:id="rId2"/>
    <sheet name="WS B ADIT &amp; ITC" sheetId="5" r:id="rId3"/>
    <sheet name="WS B-1 - Actual Stmt. AF" sheetId="38" r:id="rId4"/>
    <sheet name="WS B-2 - Actual Stmt. AG" sheetId="39" r:id="rId5"/>
    <sheet name="WS B-3" sheetId="50" r:id="rId6"/>
    <sheet name="WS B-3-A" sheetId="51" r:id="rId7"/>
    <sheet name="WS B-3-B" sheetId="52" r:id="rId8"/>
    <sheet name="WS C  - Working Capital" sheetId="6" r:id="rId9"/>
    <sheet name="WS D IPP Credits" sheetId="7" r:id="rId10"/>
    <sheet name="WS E Rev Credits" sheetId="8" r:id="rId11"/>
    <sheet name="WS F Misc Exp" sheetId="9" r:id="rId12"/>
    <sheet name="WS G  State Tax Rate" sheetId="10" r:id="rId13"/>
    <sheet name="WS H Other Taxes" sheetId="11" r:id="rId14"/>
    <sheet name="WS H-1-Detail of Tax Amts" sheetId="30" r:id="rId15"/>
    <sheet name="WS I Reserved" sheetId="12" r:id="rId16"/>
    <sheet name="WS J PROJECTED RTEP RR" sheetId="20" state="hidden" r:id="rId17"/>
    <sheet name="WS K TRUE-UP RTEP RR" sheetId="13" r:id="rId18"/>
    <sheet name="WS L Reserved" sheetId="14" r:id="rId19"/>
    <sheet name="WS M - Cost of Capital" sheetId="41" r:id="rId20"/>
    <sheet name="WS N - Sale of Plant Held" sheetId="21" r:id="rId21"/>
    <sheet name="WS O - PBOP" sheetId="48" r:id="rId22"/>
    <sheet name="APCo - WS P Dep. Rates" sheetId="31" r:id="rId23"/>
    <sheet name="IMC - WS P Dep. Rates" sheetId="42" r:id="rId24"/>
    <sheet name="KGP - WS P Dep. Rates" sheetId="43" r:id="rId25"/>
    <sheet name="KPC - WS P Dep. Rates" sheetId="44" r:id="rId26"/>
    <sheet name="OPC - WS P Dep. Rates" sheetId="45" r:id="rId27"/>
    <sheet name="WPC-WS P Dep. Rates" sheetId="46" r:id="rId28"/>
    <sheet name="WS Q NITS" sheetId="32" r:id="rId29"/>
    <sheet name="WS Q Schedule 12" sheetId="47" r:id="rId30"/>
    <sheet name="WSQ Schedule 1A" sheetId="49" r:id="rId31"/>
  </sheets>
  <definedNames>
    <definedName name="_NPh1" localSheetId="6">#REF!</definedName>
    <definedName name="_NPh1">#REF!</definedName>
    <definedName name="ActExcessAmt" localSheetId="6">#REF!</definedName>
    <definedName name="ActExcessAmt">#REF!</definedName>
    <definedName name="ActGrTaxAmt" localSheetId="6">#REF!</definedName>
    <definedName name="ActGrTaxAmt">#REF!</definedName>
    <definedName name="ActKWHExcess">#REF!</definedName>
    <definedName name="ActKWHNotUsed">#REF!</definedName>
    <definedName name="ActKWHRes">#REF!</definedName>
    <definedName name="ActKWHSubTot">#REF!</definedName>
    <definedName name="ActKWHTot">#REF!</definedName>
    <definedName name="ActNotUsedAmt">#REF!</definedName>
    <definedName name="ActResAmt">#REF!</definedName>
    <definedName name="ActSubTotAmt">#REF!</definedName>
    <definedName name="ActTotAmt">#REF!</definedName>
    <definedName name="AdminChg">#REF!</definedName>
    <definedName name="AEP">#REF!</definedName>
    <definedName name="allocator">#REF!</definedName>
    <definedName name="allocators">#REF!</definedName>
    <definedName name="allocatorsSWP">#REF!</definedName>
    <definedName name="allocatorSWP1">#REF!</definedName>
    <definedName name="APCO" localSheetId="6">#REF!</definedName>
    <definedName name="APCO">#REF!</definedName>
    <definedName name="APCo_Proj_Allocators" localSheetId="6">#REF!</definedName>
    <definedName name="APCo_Proj_Allocators">#REF!</definedName>
    <definedName name="APCo_TU_Allocators" localSheetId="6">#REF!</definedName>
    <definedName name="APCo_TU_Allocators">#REF!</definedName>
    <definedName name="AVRGPWRFCTR">#REF!</definedName>
    <definedName name="B1HRSCRMO">#REF!</definedName>
    <definedName name="B2HRSCRMO">#REF!</definedName>
    <definedName name="BASERATECHG">#REF!</definedName>
    <definedName name="BILLKWH">#REF!</definedName>
    <definedName name="BIRPCCHG">#REF!</definedName>
    <definedName name="BIRPDCHG1">#REF!</definedName>
    <definedName name="BIRPDCHG2">#REF!</definedName>
    <definedName name="BIRPECHG1">#REF!</definedName>
    <definedName name="BIRPECHGB1">#REF!</definedName>
    <definedName name="BIRPECHGB2">#REF!</definedName>
    <definedName name="BIRPECHGB3">#REF!</definedName>
    <definedName name="BIRPECHGW">#REF!</definedName>
    <definedName name="BIRPKWH1">#REF!</definedName>
    <definedName name="BIRPKWHB1">#REF!</definedName>
    <definedName name="BIRPKWHB2">#REF!</definedName>
    <definedName name="BIRPKWHB3">#REF!</definedName>
    <definedName name="BIRPKWHWH">#REF!</definedName>
    <definedName name="BIRPMECHG1">#REF!</definedName>
    <definedName name="BIRPOFKWH">#REF!</definedName>
    <definedName name="BIRPOPKWH">#REF!</definedName>
    <definedName name="BIRPP1EC">#REF!</definedName>
    <definedName name="BIRPP2EC">#REF!</definedName>
    <definedName name="BIRPP3EC">#REF!</definedName>
    <definedName name="BIRPP4EC">#REF!</definedName>
    <definedName name="BIRPP5EC">#REF!</definedName>
    <definedName name="BIRPPDMDCHG">#REF!</definedName>
    <definedName name="BIRPRCHG">#REF!</definedName>
    <definedName name="BIRPXKVA">#REF!</definedName>
    <definedName name="BIRPXKVAPCT">#REF!</definedName>
    <definedName name="BIRPXOFKW">#REF!</definedName>
    <definedName name="BKUPKWH">#REF!</definedName>
    <definedName name="BLDAMNT">#REF!</definedName>
    <definedName name="BLDDMND">#REF!</definedName>
    <definedName name="BLDKWH">#REF!</definedName>
    <definedName name="BLDOPDMND">#REF!</definedName>
    <definedName name="BLNGKWB4EDR">#REF!</definedName>
    <definedName name="BLNGKWH">#REF!</definedName>
    <definedName name="BLNGKWHTTL">#REF!</definedName>
    <definedName name="BndBlkKwh1">#REF!</definedName>
    <definedName name="BndBlkKwh2">#REF!</definedName>
    <definedName name="BndBlkKwh3">#REF!</definedName>
    <definedName name="BndBlkKwhChg1">#REF!</definedName>
    <definedName name="BndBlkKwhChg2">#REF!</definedName>
    <definedName name="BndBlkKwhChg3">#REF!</definedName>
    <definedName name="BndBlkKwhChgT">#REF!</definedName>
    <definedName name="BndBlkKwhChgW">#REF!</definedName>
    <definedName name="BndBlkKwhT">#REF!</definedName>
    <definedName name="BndBlkKwhW">#REF!</definedName>
    <definedName name="BndCustChg">#REF!</definedName>
    <definedName name="BndDmdChg1">#REF!</definedName>
    <definedName name="BndDmdChg2">#REF!</definedName>
    <definedName name="BndExcsKvaPct">#REF!</definedName>
    <definedName name="BndMEChg">#REF!</definedName>
    <definedName name="BndOffPkKwh">#REF!</definedName>
    <definedName name="BndOnPkKwh">#REF!</definedName>
    <definedName name="BndPL1Chg">#REF!</definedName>
    <definedName name="BndPL2Chg">#REF!</definedName>
    <definedName name="BndPL3Chg">#REF!</definedName>
    <definedName name="BndPL4Chg">#REF!</definedName>
    <definedName name="BndPL5Chg">#REF!</definedName>
    <definedName name="BndReactiveChg">#REF!</definedName>
    <definedName name="BndXOfpKvaChg">#REF!</definedName>
    <definedName name="BndXOfpKwChg">#REF!</definedName>
    <definedName name="BTTrueUp">#REF!</definedName>
    <definedName name="BUNCCHG">#REF!</definedName>
    <definedName name="BUNDCHG1">#REF!</definedName>
    <definedName name="BUNDCHG2">#REF!</definedName>
    <definedName name="BUNECHG1">#REF!</definedName>
    <definedName name="BUNECHGB1">#REF!</definedName>
    <definedName name="BUNECHGB2">#REF!</definedName>
    <definedName name="BUNECHGB3">#REF!</definedName>
    <definedName name="BUNECHGW">#REF!</definedName>
    <definedName name="BUNKWH1">#REF!</definedName>
    <definedName name="BUNKWHB1">#REF!</definedName>
    <definedName name="BUNKWHB2">#REF!</definedName>
    <definedName name="BUNKWHB3">#REF!</definedName>
    <definedName name="BUNKWHWH">#REF!</definedName>
    <definedName name="BUNMECHG1">#REF!</definedName>
    <definedName name="BUNOFKWH">#REF!</definedName>
    <definedName name="BUNOPKWH">#REF!</definedName>
    <definedName name="BUNP1EC">#REF!</definedName>
    <definedName name="BUNP2EC">#REF!</definedName>
    <definedName name="BUNP3EC">#REF!</definedName>
    <definedName name="BUNP4EC">#REF!</definedName>
    <definedName name="BUNP5EC">#REF!</definedName>
    <definedName name="BUNPDMDCHG">#REF!</definedName>
    <definedName name="BUNRCHG">#REF!</definedName>
    <definedName name="BUNXKVA">#REF!</definedName>
    <definedName name="BUNXKVAPCT">#REF!</definedName>
    <definedName name="BUNXOFKW">#REF!</definedName>
    <definedName name="CALCPFCC">#REF!</definedName>
    <definedName name="CAPDEFA">#REF!</definedName>
    <definedName name="CBLKWH">#REF!</definedName>
    <definedName name="City">#REF!</definedName>
    <definedName name="CNTRCTDMND">#REF!</definedName>
    <definedName name="CoPhoneLine">#REF!</definedName>
    <definedName name="CRMOINTRPTHRS">#REF!</definedName>
    <definedName name="CRNTMOBTKWH">#REF!</definedName>
    <definedName name="CRNTMOFPKHRS">#REF!</definedName>
    <definedName name="CRNTMONPKHRS">#REF!</definedName>
    <definedName name="CRTLBLONPKHRS">#REF!</definedName>
    <definedName name="CRTLBLONPKKWH">#REF!</definedName>
    <definedName name="CSTMRCHG">#REF!</definedName>
    <definedName name="CurMoAddr1">#REF!</definedName>
    <definedName name="CurMoAddr2">#REF!</definedName>
    <definedName name="CurMoBTDetail">#REF!</definedName>
    <definedName name="CurMoBuyThrgh_Sheet">#REF!</definedName>
    <definedName name="CurMoCityStZip">#REF!</definedName>
    <definedName name="CurMoCustName">#REF!</definedName>
    <definedName name="CurMoExcessAmt">#REF!</definedName>
    <definedName name="CurMoGrTaxAmt">#REF!</definedName>
    <definedName name="CurMoKWHExcess">#REF!</definedName>
    <definedName name="CurMoKWHNotUsed">#REF!</definedName>
    <definedName name="CurMoKWHRes">#REF!</definedName>
    <definedName name="CurMoKWHSubTot">#REF!</definedName>
    <definedName name="CurMoKWHTot">#REF!</definedName>
    <definedName name="CurMoMtrMult">#REF!</definedName>
    <definedName name="CurMoNotUsedAmt">#REF!</definedName>
    <definedName name="CurMoResAmt">#REF!</definedName>
    <definedName name="CurMoSubTotAmt">#REF!</definedName>
    <definedName name="CurMoTotAmt">#REF!</definedName>
    <definedName name="CurrYear">#REF!</definedName>
    <definedName name="CustAddr1">#REF!</definedName>
    <definedName name="CustAddr2">#REF!</definedName>
    <definedName name="CustCityStZip">#REF!</definedName>
    <definedName name="CustName2">#REF!</definedName>
    <definedName name="CustTable">#REF!</definedName>
    <definedName name="DetailTotCbl">#REF!</definedName>
    <definedName name="DetailTotChg">#REF!</definedName>
    <definedName name="DetailTotKw">#REF!</definedName>
    <definedName name="DetailTotMargin">#REF!</definedName>
    <definedName name="DIRPCCHG">#REF!</definedName>
    <definedName name="DIRPDCHG1">#REF!</definedName>
    <definedName name="DIRPDCHG2">#REF!</definedName>
    <definedName name="DIRPECHG1">#REF!</definedName>
    <definedName name="DIRPECHGB1">#REF!</definedName>
    <definedName name="DIRPECHGB2">#REF!</definedName>
    <definedName name="DIRPECHGB3">#REF!</definedName>
    <definedName name="DIRPMECHG1">#REF!</definedName>
    <definedName name="DIRPMINDC">#REF!</definedName>
    <definedName name="DIRPMINEC">#REF!</definedName>
    <definedName name="DIRPOFKVA">#REF!</definedName>
    <definedName name="DIRPOFKW">#REF!</definedName>
    <definedName name="DIRPOFKWH">#REF!</definedName>
    <definedName name="DIRPOPKWH">#REF!</definedName>
    <definedName name="DIRPP1EC">#REF!</definedName>
    <definedName name="DIRPP2EC">#REF!</definedName>
    <definedName name="DIRPP3EC">#REF!</definedName>
    <definedName name="DIRPP4EC">#REF!</definedName>
    <definedName name="DIRPP5EC">#REF!</definedName>
    <definedName name="DIRPRCHG">#REF!</definedName>
    <definedName name="DisBlkKwhChg1">#REF!</definedName>
    <definedName name="DisBlkKwhChg2">#REF!</definedName>
    <definedName name="DisBlkKwhChg3">#REF!</definedName>
    <definedName name="DisBlkKwhChgT">#REF!</definedName>
    <definedName name="DisCustChg">#REF!</definedName>
    <definedName name="DisDmdChg1">#REF!</definedName>
    <definedName name="DisDmdChg2">#REF!</definedName>
    <definedName name="DisMEChg">#REF!</definedName>
    <definedName name="DisMinDChg">#REF!</definedName>
    <definedName name="DisMinEChg">#REF!</definedName>
    <definedName name="DisOffPkKwh">#REF!</definedName>
    <definedName name="DisOnPkKwh">#REF!</definedName>
    <definedName name="DisPL1Chg">#REF!</definedName>
    <definedName name="DisPL2Chg">#REF!</definedName>
    <definedName name="DisPL3Chg">#REF!</definedName>
    <definedName name="DisPL4Chg">#REF!</definedName>
    <definedName name="DisPL5Chg">#REF!</definedName>
    <definedName name="DisReactiveChg">#REF!</definedName>
    <definedName name="DisXOfpKvaChg">#REF!</definedName>
    <definedName name="DisXOfpKwChg">#REF!</definedName>
    <definedName name="DSTCCHG">#REF!</definedName>
    <definedName name="DSTDCHG1">#REF!</definedName>
    <definedName name="DSTDCHG2">#REF!</definedName>
    <definedName name="DSTECHG1">#REF!</definedName>
    <definedName name="DSTECHGB1">#REF!</definedName>
    <definedName name="DSTECHGB2">#REF!</definedName>
    <definedName name="DSTECHGB3">#REF!</definedName>
    <definedName name="DSTMECHG1">#REF!</definedName>
    <definedName name="DSTMINDC">#REF!</definedName>
    <definedName name="DSTMINEC">#REF!</definedName>
    <definedName name="DSTOFKWH">#REF!</definedName>
    <definedName name="DSTOPKWH">#REF!</definedName>
    <definedName name="DSTP1EC">#REF!</definedName>
    <definedName name="DSTP2EC">#REF!</definedName>
    <definedName name="DSTP3EC">#REF!</definedName>
    <definedName name="DSTP4EC">#REF!</definedName>
    <definedName name="DSTP5EC">#REF!</definedName>
    <definedName name="DSTRCHG">#REF!</definedName>
    <definedName name="DSTXOFKVA">#REF!</definedName>
    <definedName name="DSTXOFKW">#REF!</definedName>
    <definedName name="EDRBASE">#REF!</definedName>
    <definedName name="EDRDATE">#REF!</definedName>
    <definedName name="EDRDSCNT">#REF!</definedName>
    <definedName name="EDRLVLPCT">#REF!</definedName>
    <definedName name="EDRTYPE">#REF!</definedName>
    <definedName name="EffDate">#REF!</definedName>
    <definedName name="ELKMCGN1">#REF!</definedName>
    <definedName name="ELKMCGN2">#REF!</definedName>
    <definedName name="ENDDTM">#REF!</definedName>
    <definedName name="ENDTIME">#REF!</definedName>
    <definedName name="EstExcessAmt">#REF!</definedName>
    <definedName name="EstGrTaxAmt">#REF!</definedName>
    <definedName name="EstKWHExcess">#REF!</definedName>
    <definedName name="EstKWHNotUsed">#REF!</definedName>
    <definedName name="EstKWHRes">#REF!</definedName>
    <definedName name="EstKWHSubTot">#REF!</definedName>
    <definedName name="EstKWHTot">#REF!</definedName>
    <definedName name="EstNotUsedAmt">#REF!</definedName>
    <definedName name="EstResAmt">#REF!</definedName>
    <definedName name="EstSubTotAmt">#REF!</definedName>
    <definedName name="EstTotAmt">#REF!</definedName>
    <definedName name="EXCSKVACHG">#REF!</definedName>
    <definedName name="EXCSKVADMND">#REF!</definedName>
    <definedName name="EXCSKVAR">#REF!</definedName>
    <definedName name="FIRMKWH">#REF!</definedName>
    <definedName name="FIRSTDAY">#REF!</definedName>
    <definedName name="FRMCPCT">#REF!</definedName>
    <definedName name="FUELCHG">#REF!</definedName>
    <definedName name="FUELRATE">#REF!</definedName>
    <definedName name="GenBlkKwhChg1">#REF!</definedName>
    <definedName name="GenBlkKwhChg2">#REF!</definedName>
    <definedName name="GenBlkKwhChg3">#REF!</definedName>
    <definedName name="GenBlkKwhChgT">#REF!</definedName>
    <definedName name="GENCCHG">#REF!</definedName>
    <definedName name="GenCustChg">#REF!</definedName>
    <definedName name="GENDCHG1">#REF!</definedName>
    <definedName name="GENDCHG2">#REF!</definedName>
    <definedName name="GenDmdChg1">#REF!</definedName>
    <definedName name="GenDmdChg2">#REF!</definedName>
    <definedName name="GENECHG1">#REF!</definedName>
    <definedName name="GENECHGB1">#REF!</definedName>
    <definedName name="GENECHGB2">#REF!</definedName>
    <definedName name="GENECHGB3">#REF!</definedName>
    <definedName name="GenMEChg">#REF!</definedName>
    <definedName name="GENMECHG1">#REF!</definedName>
    <definedName name="GENMINDC">#REF!</definedName>
    <definedName name="GenMinDChg">#REF!</definedName>
    <definedName name="GENMINEC">#REF!</definedName>
    <definedName name="GenMinEChg">#REF!</definedName>
    <definedName name="GenOffPkKwh">#REF!</definedName>
    <definedName name="GENOFKWH">#REF!</definedName>
    <definedName name="GenOnPkKwh">#REF!</definedName>
    <definedName name="GENOPKWH">#REF!</definedName>
    <definedName name="GENP1EC">#REF!</definedName>
    <definedName name="GENP2EC">#REF!</definedName>
    <definedName name="GENP3EC">#REF!</definedName>
    <definedName name="GENP4EC">#REF!</definedName>
    <definedName name="GENP5EC">#REF!</definedName>
    <definedName name="GenPL1Chg">#REF!</definedName>
    <definedName name="GenPL2Chg">#REF!</definedName>
    <definedName name="GenPL3Chg">#REF!</definedName>
    <definedName name="GenPL4Chg">#REF!</definedName>
    <definedName name="GenPL5Chg">#REF!</definedName>
    <definedName name="GENRCHG">#REF!</definedName>
    <definedName name="GenReactiveChg">#REF!</definedName>
    <definedName name="GENXOFKVA">#REF!</definedName>
    <definedName name="GENXOFKW">#REF!</definedName>
    <definedName name="GenXOfpKvaChg">#REF!</definedName>
    <definedName name="GenXOfpKwChg">#REF!</definedName>
    <definedName name="GIRPCCHG">#REF!</definedName>
    <definedName name="GIRPDCHG1">#REF!</definedName>
    <definedName name="GIRPDCHG2">#REF!</definedName>
    <definedName name="GIRPECHG1">#REF!</definedName>
    <definedName name="GIRPECHGB1">#REF!</definedName>
    <definedName name="GIRPECHGB2">#REF!</definedName>
    <definedName name="GIRPECHGB3">#REF!</definedName>
    <definedName name="GIRPMECHG1">#REF!</definedName>
    <definedName name="GIRPMINDC">#REF!</definedName>
    <definedName name="GIRPMINEC">#REF!</definedName>
    <definedName name="GIRPOFKVA">#REF!</definedName>
    <definedName name="GIRPOFKW">#REF!</definedName>
    <definedName name="GIRPOFKWH">#REF!</definedName>
    <definedName name="GIRPOPKWH">#REF!</definedName>
    <definedName name="GIRPP1EC">#REF!</definedName>
    <definedName name="GIRPP2EC">#REF!</definedName>
    <definedName name="GIRPP3EC">#REF!</definedName>
    <definedName name="GIRPP4EC">#REF!</definedName>
    <definedName name="GIRPP5EC">#REF!</definedName>
    <definedName name="GIRPRCHG">#REF!</definedName>
    <definedName name="HEADA">#REF!</definedName>
    <definedName name="HEADB">#REF!</definedName>
    <definedName name="HEADC">#REF!</definedName>
    <definedName name="HEADD">#REF!</definedName>
    <definedName name="HIPREKW">#REF!</definedName>
    <definedName name="HRCRDKW">#REF!</definedName>
    <definedName name="HRCRDKWDT">#REF!</definedName>
    <definedName name="HRCRDKWTM">#REF!</definedName>
    <definedName name="HROFPKDT">#REF!</definedName>
    <definedName name="HROFPKKW">#REF!</definedName>
    <definedName name="HROFPKTM">#REF!</definedName>
    <definedName name="HRONPKDT">#REF!</definedName>
    <definedName name="HRONPKKW">#REF!</definedName>
    <definedName name="HRONPKTM">#REF!</definedName>
    <definedName name="IMCO">#REF!</definedName>
    <definedName name="InterruptCapacity">#REF!</definedName>
    <definedName name="InterruptOfpCapacity">#REF!</definedName>
    <definedName name="InterruptType">#REF!</definedName>
    <definedName name="INTRPBLCAP">#REF!</definedName>
    <definedName name="Invdetails">#REF!</definedName>
    <definedName name="KWCHG">#REF!</definedName>
    <definedName name="KWH1NOCMM">#REF!</definedName>
    <definedName name="KWH3NOCMM">#REF!</definedName>
    <definedName name="KWHCHG">#REF!</definedName>
    <definedName name="LASTDAY">#REF!</definedName>
    <definedName name="LASTFUEL">#REF!</definedName>
    <definedName name="LASTMSRR">#REF!</definedName>
    <definedName name="LASTPFCC">#REF!</definedName>
    <definedName name="LDFCTR">#REF!</definedName>
    <definedName name="LRCREDIT">#REF!</definedName>
    <definedName name="MACC1">#REF!</definedName>
    <definedName name="MACC2">#REF!</definedName>
    <definedName name="MAINTHRSCRMO">#REF!</definedName>
    <definedName name="MAINTKWH">#REF!</definedName>
    <definedName name="MinBillDem">#REF!</definedName>
    <definedName name="MinBillDem2">#REF!</definedName>
    <definedName name="MinBillDmd">#REF!</definedName>
    <definedName name="MSRRBLD">#REF!</definedName>
    <definedName name="MSRRCHG">#REF!</definedName>
    <definedName name="MTRMLTPLR1">#REF!</definedName>
    <definedName name="MTRMLTPLR2">#REF!</definedName>
    <definedName name="NETMRGCHG">#REF!</definedName>
    <definedName name="NODAYSINPRD">#REF!</definedName>
    <definedName name="NODELPOINTS">#REF!</definedName>
    <definedName name="np">#REF!</definedName>
    <definedName name="NP_h">#REF!</definedName>
    <definedName name="NP_h1" localSheetId="6">#REF!</definedName>
    <definedName name="NP_h1">#REF!</definedName>
    <definedName name="NvsASD">"V2006-12-31"</definedName>
    <definedName name="NvsAutoDrillOk">"VN"</definedName>
    <definedName name="NvsElapsedTime">0.000231481484661344</definedName>
    <definedName name="NvsEndTime">39091.5909490741</definedName>
    <definedName name="NvsInstLang">"VENG"</definedName>
    <definedName name="NvsInstSp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"%,X,RZF..,CNF.."</definedName>
    <definedName name="NvsPanelBusUnit">"V100"</definedName>
    <definedName name="NvsPanelEffdt">"V2004-06-30"</definedName>
    <definedName name="NvsPanelSetid">"VAEP"</definedName>
    <definedName name="NvsReqBU">"VX999"</definedName>
    <definedName name="NvsReqBUOnly">"VN"</definedName>
    <definedName name="NvsTransLed">"VN"</definedName>
    <definedName name="NvsTreeASD">"V2099-01-01"</definedName>
    <definedName name="NvsValTbl.ACCOUNT">"GL_ACCOUNT_TBL"</definedName>
    <definedName name="NvsValTbl.AEP_STATE_JURIS">"AEP_ST_JD_TBL"</definedName>
    <definedName name="NvsValTbl.CURRENCY_CD">"CURRENCY_CD_TBL"</definedName>
    <definedName name="OFPCBLKW" localSheetId="6">#REF!</definedName>
    <definedName name="OFPCBLKW">#REF!</definedName>
    <definedName name="OFPKBILLKWH" localSheetId="6">#REF!</definedName>
    <definedName name="OFPKBILLKWH">#REF!</definedName>
    <definedName name="OFPKCGNKWH" localSheetId="6">#REF!</definedName>
    <definedName name="OFPKCGNKWH">#REF!</definedName>
    <definedName name="OFPKCNTRCTCPCT">#REF!</definedName>
    <definedName name="OFPKDMPKWH">#REF!</definedName>
    <definedName name="OFPKDSCRKWH">#REF!</definedName>
    <definedName name="OFPKDT">#REF!</definedName>
    <definedName name="OFPKEXCSKW">#REF!</definedName>
    <definedName name="OFPKINCRKWH">#REF!</definedName>
    <definedName name="OFPKKVADT">#REF!</definedName>
    <definedName name="OFPKKVATM">#REF!</definedName>
    <definedName name="OFPKKVW">#REF!</definedName>
    <definedName name="OFPKKW">#REF!</definedName>
    <definedName name="OFPKKWH1NOCMM">#REF!</definedName>
    <definedName name="OFPKKWH3NOCMM">#REF!</definedName>
    <definedName name="OFPKRCRDKWH">#REF!</definedName>
    <definedName name="OFPKTM">#REF!</definedName>
    <definedName name="OFPXCSKW">#REF!</definedName>
    <definedName name="OFPXCSKWDT">#REF!</definedName>
    <definedName name="OFPXCSKWH">#REF!</definedName>
    <definedName name="OFPXCSKWTM">#REF!</definedName>
    <definedName name="ONPKBILLKWH">#REF!</definedName>
    <definedName name="ONPKCAPB">#REF!</definedName>
    <definedName name="ONPKCGNKWH">#REF!</definedName>
    <definedName name="ONPKCNTRCTCPCT">#REF!</definedName>
    <definedName name="ONPKDMPKWH">#REF!</definedName>
    <definedName name="ONPKDSCRKWH">#REF!</definedName>
    <definedName name="ONPKDT">#REF!</definedName>
    <definedName name="ONPKINCRKWH">#REF!</definedName>
    <definedName name="ONPKKVA">#REF!</definedName>
    <definedName name="ONPKKVADT">#REF!</definedName>
    <definedName name="ONPKKVATM">#REF!</definedName>
    <definedName name="ONPKKW">#REF!</definedName>
    <definedName name="ONPKKWH1NOCMM">#REF!</definedName>
    <definedName name="ONPKKWH3NOCMM">#REF!</definedName>
    <definedName name="ONPKRCRDKWH">#REF!</definedName>
    <definedName name="ONPKTM">#REF!</definedName>
    <definedName name="OPCBLKW">#REF!</definedName>
    <definedName name="OPCO">#REF!</definedName>
    <definedName name="OPXCSKW">#REF!</definedName>
    <definedName name="OPXCSKWDT">#REF!</definedName>
    <definedName name="OPXCSKWH">#REF!</definedName>
    <definedName name="OPXCSKWTM">#REF!</definedName>
    <definedName name="OTHRTRNSKWH">#REF!</definedName>
    <definedName name="P1PENPERC">#REF!</definedName>
    <definedName name="P2PENPERC">#REF!</definedName>
    <definedName name="PAGEA">#REF!</definedName>
    <definedName name="PAGEB">#REF!</definedName>
    <definedName name="PAGEC">#REF!</definedName>
    <definedName name="PAGED">#REF!</definedName>
    <definedName name="PeakDemandChg">#REF!</definedName>
    <definedName name="PenaltyDays">#REF!</definedName>
    <definedName name="PenaltyPct">#REF!</definedName>
    <definedName name="PENDAYS">#REF!</definedName>
    <definedName name="PENDAYS2">#REF!</definedName>
    <definedName name="PFCC">#REF!</definedName>
    <definedName name="PKKVAR">#REF!</definedName>
    <definedName name="PKKVARDATE">#REF!</definedName>
    <definedName name="PKKVARTIME">#REF!</definedName>
    <definedName name="PLVLKWH1">#REF!</definedName>
    <definedName name="PLVLKWH1A">#REF!</definedName>
    <definedName name="PLVLKWH2">#REF!</definedName>
    <definedName name="PLVLKWH23A">#REF!</definedName>
    <definedName name="PLVLKWH25">#REF!</definedName>
    <definedName name="PLVLKWH2A">#REF!</definedName>
    <definedName name="PLVLKWH3">#REF!</definedName>
    <definedName name="PLVLKWH3A">#REF!</definedName>
    <definedName name="PLVLKWH4">#REF!</definedName>
    <definedName name="PLVLKWH4A">#REF!</definedName>
    <definedName name="PRICEDESIG">#REF!</definedName>
    <definedName name="PriMoAddr1">#REF!</definedName>
    <definedName name="PriMoAddr2">#REF!</definedName>
    <definedName name="PriMoBTDetail">#REF!</definedName>
    <definedName name="PriMoBuyThrgh_Sheet">#REF!</definedName>
    <definedName name="PriMoCityStZip">#REF!</definedName>
    <definedName name="PriMoCustName">#REF!</definedName>
    <definedName name="PriMoMtrMult">#REF!</definedName>
    <definedName name="_xlnm.Print_Area" localSheetId="0">TCOS!$A$1:$L$393</definedName>
    <definedName name="_xlnm.Print_Area" localSheetId="5">'WS B-3'!$A$1:$R$74</definedName>
    <definedName name="_xlnm.Print_Area" localSheetId="6">'WS B-3-A'!$A$1:$N$58</definedName>
    <definedName name="_xlnm.Print_Area" localSheetId="12">'WS G  State Tax Rate'!$A$1:$H$50</definedName>
    <definedName name="_xlnm.Print_Area" localSheetId="21">'WS O - PBOP'!$A$1:$K$57</definedName>
    <definedName name="_xlnm.Print_Area">#REF!</definedName>
    <definedName name="PRVCNT" localSheetId="6">#REF!</definedName>
    <definedName name="PRVCNT">#REF!</definedName>
    <definedName name="PRVDATE" localSheetId="6">#REF!</definedName>
    <definedName name="PRVDATE">#REF!</definedName>
    <definedName name="PRVFUEL" localSheetId="6">#REF!</definedName>
    <definedName name="PRVFUEL">#REF!</definedName>
    <definedName name="PRVKW">#REF!</definedName>
    <definedName name="PRVKWH">#REF!</definedName>
    <definedName name="PRVMSRR">#REF!</definedName>
    <definedName name="PRVPFCC">#REF!</definedName>
    <definedName name="PSO_Proj_Allocators">#REF!</definedName>
    <definedName name="PSOallocatorsP">#REF!</definedName>
    <definedName name="PVHIOFPCBL">#REF!</definedName>
    <definedName name="PVHIOPCBL">#REF!</definedName>
    <definedName name="RatchetFactor">#REF!</definedName>
    <definedName name="RCRDRID">#REF!</definedName>
    <definedName name="RCTVHRS">#REF!</definedName>
    <definedName name="RDRBLK1C">#REF!</definedName>
    <definedName name="RDRBLK1Q">#REF!</definedName>
    <definedName name="RDRBLK2C">#REF!</definedName>
    <definedName name="RDRBLK2Q">#REF!</definedName>
    <definedName name="RDRBLK3C">#REF!</definedName>
    <definedName name="RDRBLK3Q">#REF!</definedName>
    <definedName name="RDRBLKTC">#REF!</definedName>
    <definedName name="RDRBLKTC1">#REF!</definedName>
    <definedName name="RDRBLKTC10">#REF!</definedName>
    <definedName name="RDRBLKTC11">#REF!</definedName>
    <definedName name="RDRBLKTC12">#REF!</definedName>
    <definedName name="RDRBLKTC13">#REF!</definedName>
    <definedName name="RDRBLKTC14">#REF!</definedName>
    <definedName name="RDRBLKTC15">#REF!</definedName>
    <definedName name="RDRBLKTC16">#REF!</definedName>
    <definedName name="RDRBLKTC17">#REF!</definedName>
    <definedName name="RDRBLKTC18">#REF!</definedName>
    <definedName name="RDRBLKTC19">#REF!</definedName>
    <definedName name="RDRBLKTC2">#REF!</definedName>
    <definedName name="RDRBLKTC20">#REF!</definedName>
    <definedName name="RDRBLKTC3">#REF!</definedName>
    <definedName name="RDRBLKTC4">#REF!</definedName>
    <definedName name="RDRBLKTC5">#REF!</definedName>
    <definedName name="RDRBLKTC6">#REF!</definedName>
    <definedName name="RDRBLKTC7">#REF!</definedName>
    <definedName name="RDRBLKTC8">#REF!</definedName>
    <definedName name="RDRBLKTC9">#REF!</definedName>
    <definedName name="RDRBLKTQ">#REF!</definedName>
    <definedName name="RDRCODE">#REF!</definedName>
    <definedName name="RDRCYCLE">#REF!</definedName>
    <definedName name="RDRDATE">#REF!</definedName>
    <definedName name="RDRNAME">#REF!</definedName>
    <definedName name="RDRRATEB">#REF!</definedName>
    <definedName name="RDRRATEB1">#REF!</definedName>
    <definedName name="RDRRATEB10">#REF!</definedName>
    <definedName name="RDRRATEB11">#REF!</definedName>
    <definedName name="RDRRATEB12">#REF!</definedName>
    <definedName name="RDRRATEB13">#REF!</definedName>
    <definedName name="RDRRATEB14">#REF!</definedName>
    <definedName name="RDRRATEB15">#REF!</definedName>
    <definedName name="RDRRATEB16">#REF!</definedName>
    <definedName name="RDRRATEB17">#REF!</definedName>
    <definedName name="RDRRATEB18">#REF!</definedName>
    <definedName name="RDRRATEB19">#REF!</definedName>
    <definedName name="RDRRATEB2">#REF!</definedName>
    <definedName name="RDRRATEB20">#REF!</definedName>
    <definedName name="RDRRATEB3">#REF!</definedName>
    <definedName name="RDRRATEB4">#REF!</definedName>
    <definedName name="RDRRATEB5">#REF!</definedName>
    <definedName name="RDRRATEB6">#REF!</definedName>
    <definedName name="RDRRATEB7">#REF!</definedName>
    <definedName name="RDRRATEB8">#REF!</definedName>
    <definedName name="RDRRATEB9">#REF!</definedName>
    <definedName name="RDRRATED">#REF!</definedName>
    <definedName name="RDRRATED1">#REF!</definedName>
    <definedName name="RDRRATED10">#REF!</definedName>
    <definedName name="RDRRATED11">#REF!</definedName>
    <definedName name="RDRRATED12">#REF!</definedName>
    <definedName name="RDRRATED13">#REF!</definedName>
    <definedName name="RDRRATED14">#REF!</definedName>
    <definedName name="RDRRATED15">#REF!</definedName>
    <definedName name="RDRRATED16">#REF!</definedName>
    <definedName name="RDRRATED17">#REF!</definedName>
    <definedName name="RDRRATED18">#REF!</definedName>
    <definedName name="RDRRATED19">#REF!</definedName>
    <definedName name="RDRRATED2">#REF!</definedName>
    <definedName name="RDRRATED20">#REF!</definedName>
    <definedName name="RDRRATED3">#REF!</definedName>
    <definedName name="RDRRATED4">#REF!</definedName>
    <definedName name="RDRRATED5">#REF!</definedName>
    <definedName name="RDRRATED6">#REF!</definedName>
    <definedName name="RDRRATED7">#REF!</definedName>
    <definedName name="RDRRATED8">#REF!</definedName>
    <definedName name="RDRRATED9">#REF!</definedName>
    <definedName name="RDRRATEG">#REF!</definedName>
    <definedName name="RDRRATEG1">#REF!</definedName>
    <definedName name="RDRRATEG10">#REF!</definedName>
    <definedName name="RDRRATEG11">#REF!</definedName>
    <definedName name="RDRRATEG12">#REF!</definedName>
    <definedName name="RDRRATEG13">#REF!</definedName>
    <definedName name="RDRRATEG14">#REF!</definedName>
    <definedName name="RDRRATEG15">#REF!</definedName>
    <definedName name="RDRRATEG16">#REF!</definedName>
    <definedName name="RDRRATEG17">#REF!</definedName>
    <definedName name="RDRRATEG18">#REF!</definedName>
    <definedName name="RDRRATEG19">#REF!</definedName>
    <definedName name="RDRRATEG2">#REF!</definedName>
    <definedName name="RDRRATEG20">#REF!</definedName>
    <definedName name="RDRRATEG3">#REF!</definedName>
    <definedName name="RDRRATEG4">#REF!</definedName>
    <definedName name="RDRRATEG5">#REF!</definedName>
    <definedName name="RDRRATEG6">#REF!</definedName>
    <definedName name="RDRRATEG7">#REF!</definedName>
    <definedName name="RDRRATEG8">#REF!</definedName>
    <definedName name="RDRRATEG9">#REF!</definedName>
    <definedName name="RDRRATET">#REF!</definedName>
    <definedName name="RDRRATET1">#REF!</definedName>
    <definedName name="RDRRATET10">#REF!</definedName>
    <definedName name="RDRRATET11">#REF!</definedName>
    <definedName name="RDRRATET12">#REF!</definedName>
    <definedName name="RDRRATET13">#REF!</definedName>
    <definedName name="RDRRATET14">#REF!</definedName>
    <definedName name="RDRRATET15">#REF!</definedName>
    <definedName name="RDRRATET16">#REF!</definedName>
    <definedName name="RDRRATET17">#REF!</definedName>
    <definedName name="RDRRATET18">#REF!</definedName>
    <definedName name="RDRRATET19">#REF!</definedName>
    <definedName name="RDRRATET2">#REF!</definedName>
    <definedName name="RDRRATET20">#REF!</definedName>
    <definedName name="RDRRATET3">#REF!</definedName>
    <definedName name="RDRRATET4">#REF!</definedName>
    <definedName name="RDRRATET5">#REF!</definedName>
    <definedName name="RDRRATET6">#REF!</definedName>
    <definedName name="RDRRATET7">#REF!</definedName>
    <definedName name="RDRRATET8">#REF!</definedName>
    <definedName name="RDRRATET9">#REF!</definedName>
    <definedName name="RDRTYPE">#REF!</definedName>
    <definedName name="RDRUNITS">#REF!</definedName>
    <definedName name="_xlnm.Recorder">#REF!</definedName>
    <definedName name="Reserved_Section">#REF!</definedName>
    <definedName name="RIDERS">#REF!</definedName>
    <definedName name="RKVAHRDNG">#REF!</definedName>
    <definedName name="RTCHTCNTRCTCPCT">#REF!</definedName>
    <definedName name="RTCHTFCTR">#REF!</definedName>
    <definedName name="RTCHTFCTR2">#REF!</definedName>
    <definedName name="RTCHTHIPREVKW">#REF!</definedName>
    <definedName name="RTP_Detail">#REF!</definedName>
    <definedName name="RTPLRKW">#REF!</definedName>
    <definedName name="SDI">#REF!</definedName>
    <definedName name="SHLDRPKKW">#REF!</definedName>
    <definedName name="SHLDRPKKWDT">#REF!</definedName>
    <definedName name="SHLDRPKKWTM">#REF!</definedName>
    <definedName name="SHRDTRNSKWH">#REF!</definedName>
    <definedName name="SRPLSKWH">#REF!</definedName>
    <definedName name="STARTDTM">#REF!</definedName>
    <definedName name="State">#REF!</definedName>
    <definedName name="STDKW">#REF!</definedName>
    <definedName name="STDKWDT">#REF!</definedName>
    <definedName name="STDKWTM">#REF!</definedName>
    <definedName name="STRTTIME">#REF!</definedName>
    <definedName name="SWP_Proj_Allocators">#REF!</definedName>
    <definedName name="SWPallocatorsH">#REF!</definedName>
    <definedName name="SWPallocatorsP">#REF!</definedName>
    <definedName name="SYSPKKW">#REF!</definedName>
    <definedName name="SYSPKKWDT">#REF!</definedName>
    <definedName name="SYSPKKWTM">#REF!</definedName>
    <definedName name="TARIFF1">#REF!</definedName>
    <definedName name="TARIFF2">#REF!</definedName>
    <definedName name="TariffCode">#REF!</definedName>
    <definedName name="TariffLongName">#REF!</definedName>
    <definedName name="TariffShortName">#REF!</definedName>
    <definedName name="TAXDATE">#REF!</definedName>
    <definedName name="TAXES">#REF!</definedName>
    <definedName name="TAXNAME">#REF!</definedName>
    <definedName name="TAXRATE">#REF!</definedName>
    <definedName name="TAXTYPE">#REF!</definedName>
    <definedName name="TCst">#REF!</definedName>
    <definedName name="TCst1">#REF!</definedName>
    <definedName name="TIRPCCHG">#REF!</definedName>
    <definedName name="TIRPDCHG1">#REF!</definedName>
    <definedName name="TIRPDCHG2">#REF!</definedName>
    <definedName name="TIRPECHG1">#REF!</definedName>
    <definedName name="TIRPECHGB1">#REF!</definedName>
    <definedName name="TIRPECHGB2">#REF!</definedName>
    <definedName name="TIRPECHGB3">#REF!</definedName>
    <definedName name="TIRPMECHG1">#REF!</definedName>
    <definedName name="TIRPMINDC">#REF!</definedName>
    <definedName name="TIRPMINEC">#REF!</definedName>
    <definedName name="TIRPOFKVA">#REF!</definedName>
    <definedName name="TIRPOFKW">#REF!</definedName>
    <definedName name="TIRPOFKWH">#REF!</definedName>
    <definedName name="TIRPOPKWH">#REF!</definedName>
    <definedName name="TIRPP1EC">#REF!</definedName>
    <definedName name="TIRPP2EC">#REF!</definedName>
    <definedName name="TIRPP3EC">#REF!</definedName>
    <definedName name="TIRPP4EC">#REF!</definedName>
    <definedName name="TIRPP5EC">#REF!</definedName>
    <definedName name="TIRPRCHG">#REF!</definedName>
    <definedName name="TLsFctr">#REF!</definedName>
    <definedName name="TRCRDKWH">#REF!</definedName>
    <definedName name="TRCRDKWH2P">#REF!</definedName>
    <definedName name="TRFDATE1">#REF!</definedName>
    <definedName name="TRFDATE2">#REF!</definedName>
    <definedName name="TRFNAME1">#REF!</definedName>
    <definedName name="TRFNAME2">#REF!</definedName>
    <definedName name="TRFSHORTNM1">#REF!</definedName>
    <definedName name="TRFSHORTNM2">#REF!</definedName>
    <definedName name="TrnBlkKwhChg1">#REF!</definedName>
    <definedName name="TrnBlkKwhChg2">#REF!</definedName>
    <definedName name="TrnBlkKwhChg3">#REF!</definedName>
    <definedName name="TrnBlkKwhChgT">#REF!</definedName>
    <definedName name="TRNCCHG">#REF!</definedName>
    <definedName name="TrnCustChg">#REF!</definedName>
    <definedName name="TRNDCHG1">#REF!</definedName>
    <definedName name="TRNDCHG2">#REF!</definedName>
    <definedName name="TrnDmdChg1">#REF!</definedName>
    <definedName name="TrnDmdChg2">#REF!</definedName>
    <definedName name="TRNECHG1">#REF!</definedName>
    <definedName name="TRNECHGB1">#REF!</definedName>
    <definedName name="TRNECHGB2">#REF!</definedName>
    <definedName name="TRNECHGB3">#REF!</definedName>
    <definedName name="TrnMEChg">#REF!</definedName>
    <definedName name="TRNMECHG1">#REF!</definedName>
    <definedName name="TRNMINDC">#REF!</definedName>
    <definedName name="TrnMinDChg">#REF!</definedName>
    <definedName name="TRNMINEC">#REF!</definedName>
    <definedName name="TrnMinEChg">#REF!</definedName>
    <definedName name="TrnOffPkKwh">#REF!</definedName>
    <definedName name="TRNOFKWH">#REF!</definedName>
    <definedName name="TrnOnPkKwh">#REF!</definedName>
    <definedName name="TRNOPKWH">#REF!</definedName>
    <definedName name="TRNP1EC">#REF!</definedName>
    <definedName name="TRNP2EC">#REF!</definedName>
    <definedName name="TRNP3EC">#REF!</definedName>
    <definedName name="TRNP4EC">#REF!</definedName>
    <definedName name="TRNP5EC">#REF!</definedName>
    <definedName name="TrnPL1Chg">#REF!</definedName>
    <definedName name="TrnPL2Chg">#REF!</definedName>
    <definedName name="TrnPL3Chg">#REF!</definedName>
    <definedName name="TrnPL4Chg">#REF!</definedName>
    <definedName name="TrnPL5Chg">#REF!</definedName>
    <definedName name="TRNRCHG">#REF!</definedName>
    <definedName name="TrnReactiveChg">#REF!</definedName>
    <definedName name="TRNSKWTOFPK">#REF!</definedName>
    <definedName name="TRNSKWTONPK">#REF!</definedName>
    <definedName name="TRNXOFKVA">#REF!</definedName>
    <definedName name="TRNXOFKW">#REF!</definedName>
    <definedName name="TrnXOfpKvaChg">#REF!</definedName>
    <definedName name="TrnXOfpKwChg">#REF!</definedName>
    <definedName name="TTLBSRATETTL">#REF!</definedName>
    <definedName name="TTLCOGENKWH">#REF!</definedName>
    <definedName name="UNBUNDIND">#REF!</definedName>
    <definedName name="Z_3768C7C8_9953_11DA_B318_000FB55D51DC_.wvu.PrintArea" localSheetId="8" hidden="1">'WS C  - Working Capital'!$A$10:$N$97</definedName>
    <definedName name="Z_3768C7C8_9953_11DA_B318_000FB55D51DC_.wvu.PrintTitles" localSheetId="8" hidden="1">'WS C  - Working Capital'!#REF!</definedName>
    <definedName name="Z_3768C7C8_9953_11DA_B318_000FB55D51DC_.wvu.Rows" localSheetId="8" hidden="1">'WS C  - Working Capital'!#REF!</definedName>
    <definedName name="Z_3BDD6235_B127_4929_8311_BDAF7BB89818_.wvu.PrintArea" localSheetId="8" hidden="1">'WS C  - Working Capital'!$A$10:$N$97</definedName>
    <definedName name="Z_3BDD6235_B127_4929_8311_BDAF7BB89818_.wvu.PrintTitles" localSheetId="8" hidden="1">'WS C  - Working Capital'!#REF!</definedName>
    <definedName name="Z_3BDD6235_B127_4929_8311_BDAF7BB89818_.wvu.Rows" localSheetId="8" hidden="1">'WS C  - Working Capital'!#REF!</definedName>
    <definedName name="Z_B0241363_5C8A_48FC_89A6_56D55586BABE_.wvu.PrintArea" localSheetId="8" hidden="1">'WS C  - Working Capital'!$A$10:$N$97</definedName>
    <definedName name="Z_B0241363_5C8A_48FC_89A6_56D55586BABE_.wvu.PrintTitles" localSheetId="8" hidden="1">'WS C  - Working Capital'!#REF!</definedName>
    <definedName name="Z_B0241363_5C8A_48FC_89A6_56D55586BABE_.wvu.Rows" localSheetId="8" hidden="1">'WS C  - Working Capital'!#REF!</definedName>
    <definedName name="Z_C0EA0F9F_7310_4201_82C9_7B8FC8DB9137_.wvu.PrintArea" localSheetId="8" hidden="1">'WS C  - Working Capital'!$A$10:$N$97</definedName>
    <definedName name="Z_C0EA0F9F_7310_4201_82C9_7B8FC8DB9137_.wvu.PrintTitles" localSheetId="8" hidden="1">'WS C  - Working Capital'!#REF!</definedName>
    <definedName name="Z_C0EA0F9F_7310_4201_82C9_7B8FC8DB9137_.wvu.Rows" localSheetId="8" hidden="1">'WS C  - Working Capital'!#REF!</definedName>
    <definedName name="Z_C5140E12_E05E_4473_9142_42F37320A417_.wvu.Cols" localSheetId="14" hidden="1">'WS H-1-Detail of Tax Amts'!#REF!</definedName>
    <definedName name="Z_C5140E12_E05E_4473_9142_42F37320A417_.wvu.PrintArea" localSheetId="14" hidden="1">'WS H-1-Detail of Tax Amts'!$A$3:$F$144</definedName>
    <definedName name="Z_C5140E12_E05E_4473_9142_42F37320A417_.wvu.PrintArea" localSheetId="16" hidden="1">'WS J PROJECTED RTEP RR'!$A$3:$O$80</definedName>
    <definedName name="Z_C5140E12_E05E_4473_9142_42F37320A417_.wvu.PrintTitles" localSheetId="14" hidden="1">'WS H-1-Detail of Tax Amts'!$3:$7</definedName>
    <definedName name="Zip" localSheetId="6">#REF!</definedName>
    <definedName name="Zip">#REF!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92" i="39" l="1"/>
  <c r="C92" i="39"/>
  <c r="D91" i="39"/>
  <c r="C91" i="39"/>
  <c r="E78" i="30" l="1"/>
  <c r="E73" i="30"/>
  <c r="G179" i="2" l="1"/>
  <c r="G148" i="2"/>
  <c r="Q60" i="50" l="1"/>
  <c r="P59" i="50"/>
  <c r="P58" i="50"/>
  <c r="P57" i="50"/>
  <c r="P56" i="50"/>
  <c r="Q55" i="50"/>
  <c r="E66" i="41" l="1"/>
  <c r="E67" i="41"/>
  <c r="E65" i="41"/>
  <c r="E64" i="41" l="1"/>
  <c r="D83" i="38" l="1"/>
  <c r="D84" i="38"/>
  <c r="D85" i="38"/>
  <c r="D86" i="38"/>
  <c r="D102" i="38"/>
  <c r="D111" i="38"/>
  <c r="D118" i="38"/>
  <c r="D120" i="38"/>
  <c r="D132" i="38"/>
  <c r="D153" i="38"/>
  <c r="D167" i="38" l="1"/>
  <c r="D165" i="38"/>
  <c r="D162" i="38"/>
  <c r="J167" i="38"/>
  <c r="I167" i="38"/>
  <c r="C167" i="38"/>
  <c r="J165" i="38"/>
  <c r="I165" i="38"/>
  <c r="C165" i="38"/>
  <c r="J164" i="38"/>
  <c r="I164" i="38"/>
  <c r="C164" i="38"/>
  <c r="J163" i="38"/>
  <c r="I163" i="38"/>
  <c r="C163" i="38"/>
  <c r="J162" i="38"/>
  <c r="I162" i="38"/>
  <c r="C162" i="38"/>
  <c r="K159" i="38"/>
  <c r="K158" i="38"/>
  <c r="K156" i="38"/>
  <c r="D137" i="38"/>
  <c r="D131" i="38"/>
  <c r="D127" i="38"/>
  <c r="D125" i="38"/>
  <c r="J124" i="38"/>
  <c r="I124" i="38"/>
  <c r="C124" i="38"/>
  <c r="D123" i="38"/>
  <c r="D121" i="38"/>
  <c r="D109" i="38"/>
  <c r="D107" i="38"/>
  <c r="D106" i="38"/>
  <c r="D103" i="38"/>
  <c r="D92" i="38"/>
  <c r="D90" i="38"/>
  <c r="D82" i="38"/>
  <c r="D81" i="38"/>
  <c r="J159" i="38"/>
  <c r="J158" i="38"/>
  <c r="J156" i="38"/>
  <c r="D150" i="38"/>
  <c r="D119" i="38"/>
  <c r="D98" i="38"/>
  <c r="D79" i="38"/>
  <c r="D154" i="38"/>
  <c r="D171" i="38"/>
  <c r="D170" i="38"/>
  <c r="D157" i="38"/>
  <c r="D160" i="38"/>
  <c r="D161" i="38"/>
  <c r="D168" i="38"/>
  <c r="K168" i="38"/>
  <c r="J168" i="38"/>
  <c r="C168" i="38"/>
  <c r="K166" i="38"/>
  <c r="J166" i="38"/>
  <c r="C166" i="38"/>
  <c r="K161" i="38"/>
  <c r="J161" i="38"/>
  <c r="C161" i="38"/>
  <c r="K160" i="38"/>
  <c r="J160" i="38"/>
  <c r="C160" i="38"/>
  <c r="C159" i="38"/>
  <c r="C158" i="38"/>
  <c r="K157" i="38"/>
  <c r="J157" i="38"/>
  <c r="C157" i="38"/>
  <c r="C156" i="38"/>
  <c r="K155" i="38"/>
  <c r="J155" i="38"/>
  <c r="C155" i="38"/>
  <c r="K151" i="38"/>
  <c r="J151" i="38"/>
  <c r="C151" i="38"/>
  <c r="D148" i="38"/>
  <c r="D147" i="38"/>
  <c r="D146" i="38"/>
  <c r="D145" i="38"/>
  <c r="D144" i="38"/>
  <c r="D143" i="38"/>
  <c r="D142" i="38"/>
  <c r="D140" i="38"/>
  <c r="D138" i="38"/>
  <c r="K138" i="38"/>
  <c r="J138" i="38"/>
  <c r="C138" i="38"/>
  <c r="D139" i="38"/>
  <c r="D134" i="38"/>
  <c r="D135" i="38"/>
  <c r="D136" i="38"/>
  <c r="D133" i="38"/>
  <c r="D130" i="38"/>
  <c r="D129" i="38"/>
  <c r="D128" i="38"/>
  <c r="D126" i="38"/>
  <c r="D122" i="38"/>
  <c r="D114" i="38"/>
  <c r="D112" i="38"/>
  <c r="D108" i="38"/>
  <c r="D105" i="38"/>
  <c r="D101" i="38"/>
  <c r="D100" i="38"/>
  <c r="D99" i="38"/>
  <c r="D97" i="38"/>
  <c r="D93" i="38"/>
  <c r="D91" i="38"/>
  <c r="D80" i="38"/>
  <c r="D70" i="38"/>
  <c r="D71" i="38"/>
  <c r="D72" i="38"/>
  <c r="D73" i="38"/>
  <c r="D74" i="38"/>
  <c r="D75" i="38"/>
  <c r="D76" i="38"/>
  <c r="D117" i="38" l="1"/>
  <c r="D116" i="38"/>
  <c r="D104" i="38"/>
  <c r="D95" i="38"/>
  <c r="D152" i="38"/>
  <c r="D89" i="38"/>
  <c r="D115" i="38"/>
  <c r="K165" i="38"/>
  <c r="D69" i="38"/>
  <c r="D169" i="38"/>
  <c r="D67" i="38"/>
  <c r="D77" i="38"/>
  <c r="D149" i="38"/>
  <c r="D113" i="38"/>
  <c r="I166" i="38"/>
  <c r="D166" i="38"/>
  <c r="G166" i="38" s="1"/>
  <c r="D141" i="38"/>
  <c r="D94" i="38"/>
  <c r="I151" i="38"/>
  <c r="D151" i="38"/>
  <c r="G151" i="38" s="1"/>
  <c r="I159" i="38"/>
  <c r="D159" i="38"/>
  <c r="G159" i="38" s="1"/>
  <c r="I156" i="38"/>
  <c r="D156" i="38"/>
  <c r="G156" i="38" s="1"/>
  <c r="D96" i="38"/>
  <c r="D158" i="38"/>
  <c r="G158" i="38" s="1"/>
  <c r="D68" i="38"/>
  <c r="K124" i="38"/>
  <c r="D124" i="38"/>
  <c r="G124" i="38" s="1"/>
  <c r="K163" i="38"/>
  <c r="D163" i="38"/>
  <c r="G163" i="38" s="1"/>
  <c r="D87" i="38"/>
  <c r="K164" i="38"/>
  <c r="D164" i="38"/>
  <c r="G164" i="38" s="1"/>
  <c r="D78" i="38"/>
  <c r="D88" i="38"/>
  <c r="D110" i="38"/>
  <c r="I155" i="38"/>
  <c r="D155" i="38"/>
  <c r="G155" i="38" s="1"/>
  <c r="K167" i="38"/>
  <c r="K162" i="38"/>
  <c r="G165" i="38"/>
  <c r="G167" i="38"/>
  <c r="G162" i="38"/>
  <c r="I157" i="38"/>
  <c r="I161" i="38"/>
  <c r="I158" i="38"/>
  <c r="I160" i="38"/>
  <c r="I168" i="38"/>
  <c r="G168" i="38"/>
  <c r="G160" i="38"/>
  <c r="G157" i="38"/>
  <c r="G161" i="38"/>
  <c r="I138" i="38"/>
  <c r="G138" i="38"/>
  <c r="K41" i="39" l="1"/>
  <c r="J41" i="39"/>
  <c r="I41" i="39"/>
  <c r="C41" i="39"/>
  <c r="K30" i="39"/>
  <c r="J30" i="39"/>
  <c r="I30" i="39"/>
  <c r="C30" i="39"/>
  <c r="K20" i="39"/>
  <c r="K19" i="39"/>
  <c r="K18" i="39"/>
  <c r="J20" i="39"/>
  <c r="J19" i="39"/>
  <c r="J18" i="39"/>
  <c r="I19" i="39"/>
  <c r="I18" i="39"/>
  <c r="C20" i="39"/>
  <c r="C18" i="39"/>
  <c r="C19" i="39"/>
  <c r="D41" i="39" l="1"/>
  <c r="G41" i="39" s="1"/>
  <c r="D30" i="39"/>
  <c r="G30" i="39" s="1"/>
  <c r="D20" i="39"/>
  <c r="G20" i="39" s="1"/>
  <c r="D19" i="39"/>
  <c r="G19" i="39" s="1"/>
  <c r="I20" i="39"/>
  <c r="D18" i="39"/>
  <c r="G18" i="39" s="1"/>
  <c r="F23" i="10" l="1"/>
  <c r="K90" i="6" l="1"/>
  <c r="E90" i="6" s="1"/>
  <c r="K89" i="6"/>
  <c r="E89" i="6" s="1"/>
  <c r="K88" i="6"/>
  <c r="E88" i="6" s="1"/>
  <c r="K87" i="6"/>
  <c r="E87" i="6" s="1"/>
  <c r="J86" i="6"/>
  <c r="K86" i="6" s="1"/>
  <c r="E86" i="6" s="1"/>
  <c r="K85" i="6"/>
  <c r="E85" i="6" s="1"/>
  <c r="I84" i="6"/>
  <c r="K84" i="6" s="1"/>
  <c r="E84" i="6" s="1"/>
  <c r="K82" i="6"/>
  <c r="E82" i="6" s="1"/>
  <c r="K81" i="6"/>
  <c r="E81" i="6" s="1"/>
  <c r="K80" i="6"/>
  <c r="E80" i="6" s="1"/>
  <c r="J79" i="6"/>
  <c r="K79" i="6" s="1"/>
  <c r="K78" i="6"/>
  <c r="E78" i="6" s="1"/>
  <c r="K77" i="6"/>
  <c r="E77" i="6" s="1"/>
  <c r="K76" i="6"/>
  <c r="E76" i="6" s="1"/>
  <c r="K75" i="6"/>
  <c r="E75" i="6" s="1"/>
  <c r="K74" i="6"/>
  <c r="E74" i="6" s="1"/>
  <c r="K73" i="6"/>
  <c r="E73" i="6" s="1"/>
  <c r="K72" i="6"/>
  <c r="E72" i="6" s="1"/>
  <c r="I71" i="6"/>
  <c r="K71" i="6" s="1"/>
  <c r="D56" i="38"/>
  <c r="C56" i="38"/>
  <c r="I83" i="6" l="1"/>
  <c r="K83" i="6" s="1"/>
  <c r="E83" i="6" s="1"/>
  <c r="E79" i="6"/>
  <c r="E71" i="6"/>
  <c r="F96" i="39" l="1"/>
  <c r="E96" i="39"/>
  <c r="O96" i="39"/>
  <c r="N96" i="39"/>
  <c r="M96" i="39"/>
  <c r="A17" i="39"/>
  <c r="A18" i="39" s="1"/>
  <c r="F193" i="38"/>
  <c r="E193" i="38"/>
  <c r="O193" i="38"/>
  <c r="N193" i="38"/>
  <c r="M193" i="38"/>
  <c r="A66" i="38"/>
  <c r="F62" i="38"/>
  <c r="E62" i="38"/>
  <c r="O62" i="38"/>
  <c r="N62" i="38"/>
  <c r="M62" i="38"/>
  <c r="A28" i="38"/>
  <c r="A19" i="39" l="1"/>
  <c r="A20" i="39" s="1"/>
  <c r="A21" i="39" s="1"/>
  <c r="A22" i="39" s="1"/>
  <c r="A23" i="39" s="1"/>
  <c r="A24" i="39" s="1"/>
  <c r="A25" i="39" s="1"/>
  <c r="A26" i="39" s="1"/>
  <c r="A27" i="39" s="1"/>
  <c r="A28" i="39" s="1"/>
  <c r="H252" i="2"/>
  <c r="E99" i="2"/>
  <c r="I19" i="6"/>
  <c r="G120" i="2" s="1"/>
  <c r="H62" i="35"/>
  <c r="G62" i="35"/>
  <c r="L243" i="2" s="1"/>
  <c r="M42" i="35"/>
  <c r="G90" i="2" s="1"/>
  <c r="L42" i="35"/>
  <c r="G89" i="2" s="1"/>
  <c r="M23" i="35"/>
  <c r="G76" i="2" s="1"/>
  <c r="L23" i="35"/>
  <c r="G75" i="2" l="1"/>
  <c r="L242" i="2" s="1"/>
  <c r="L244" i="2" s="1"/>
  <c r="L246" i="2" s="1"/>
  <c r="A29" i="39"/>
  <c r="A30" i="39" s="1"/>
  <c r="A31" i="39" s="1"/>
  <c r="A32" i="39" s="1"/>
  <c r="A33" i="39" s="1"/>
  <c r="A34" i="39" s="1"/>
  <c r="A35" i="39" s="1"/>
  <c r="G99" i="2" l="1"/>
  <c r="J184" i="2"/>
  <c r="L184" i="2" s="1"/>
  <c r="J252" i="2"/>
  <c r="L252" i="2" s="1"/>
  <c r="J120" i="2"/>
  <c r="L120" i="2" s="1"/>
  <c r="J166" i="2"/>
  <c r="L166" i="2" s="1"/>
  <c r="J90" i="2"/>
  <c r="L90" i="2" s="1"/>
  <c r="J89" i="2"/>
  <c r="L89" i="2" s="1"/>
  <c r="J76" i="2"/>
  <c r="L76" i="2" s="1"/>
  <c r="J75" i="2"/>
  <c r="L75" i="2" s="1"/>
  <c r="L99" i="2" l="1"/>
  <c r="G185" i="2"/>
  <c r="I45" i="30" l="1"/>
  <c r="I44" i="30"/>
  <c r="I47" i="30" l="1"/>
  <c r="I46" i="30" l="1"/>
  <c r="J93" i="39" l="1"/>
  <c r="K93" i="39"/>
  <c r="I93" i="39"/>
  <c r="C93" i="39"/>
  <c r="D93" i="39" l="1"/>
  <c r="G93" i="39" s="1"/>
  <c r="D53" i="38" l="1"/>
  <c r="C53" i="38"/>
  <c r="C75" i="39"/>
  <c r="D75" i="39"/>
  <c r="I75" i="39"/>
  <c r="J75" i="39"/>
  <c r="K75" i="39"/>
  <c r="C76" i="39"/>
  <c r="D76" i="39"/>
  <c r="I76" i="39"/>
  <c r="J76" i="39"/>
  <c r="K76" i="39"/>
  <c r="C77" i="39"/>
  <c r="D77" i="39"/>
  <c r="I77" i="39"/>
  <c r="J77" i="39"/>
  <c r="K77" i="39"/>
  <c r="R96" i="39"/>
  <c r="S96" i="39"/>
  <c r="Q96" i="39"/>
  <c r="R193" i="38"/>
  <c r="S193" i="38"/>
  <c r="Q193" i="38"/>
  <c r="C66" i="38"/>
  <c r="D66" i="38"/>
  <c r="I66" i="38"/>
  <c r="J66" i="38"/>
  <c r="K66" i="38"/>
  <c r="C67" i="38"/>
  <c r="I67" i="38"/>
  <c r="J67" i="38"/>
  <c r="K67" i="38"/>
  <c r="C68" i="38"/>
  <c r="I68" i="38"/>
  <c r="J68" i="38"/>
  <c r="K68" i="38"/>
  <c r="C69" i="38"/>
  <c r="I69" i="38"/>
  <c r="J69" i="38"/>
  <c r="K69" i="38"/>
  <c r="C70" i="38"/>
  <c r="I70" i="38"/>
  <c r="J70" i="38"/>
  <c r="K70" i="38"/>
  <c r="C71" i="38"/>
  <c r="I71" i="38"/>
  <c r="J71" i="38"/>
  <c r="K71" i="38"/>
  <c r="C72" i="38"/>
  <c r="I72" i="38"/>
  <c r="J72" i="38"/>
  <c r="K72" i="38"/>
  <c r="C73" i="38"/>
  <c r="I73" i="38"/>
  <c r="J73" i="38"/>
  <c r="K73" i="38"/>
  <c r="C74" i="38"/>
  <c r="I74" i="38"/>
  <c r="J74" i="38"/>
  <c r="K74" i="38"/>
  <c r="C75" i="38"/>
  <c r="I75" i="38"/>
  <c r="J75" i="38"/>
  <c r="K75" i="38"/>
  <c r="C76" i="38"/>
  <c r="I76" i="38"/>
  <c r="J76" i="38"/>
  <c r="K76" i="38"/>
  <c r="C77" i="38"/>
  <c r="I77" i="38"/>
  <c r="J77" i="38"/>
  <c r="K77" i="38"/>
  <c r="C78" i="38"/>
  <c r="I78" i="38"/>
  <c r="J78" i="38"/>
  <c r="K78" i="38"/>
  <c r="C79" i="38"/>
  <c r="I79" i="38"/>
  <c r="J79" i="38"/>
  <c r="K79" i="38"/>
  <c r="C80" i="38"/>
  <c r="I80" i="38"/>
  <c r="J80" i="38"/>
  <c r="K80" i="38"/>
  <c r="C81" i="38"/>
  <c r="I81" i="38"/>
  <c r="J81" i="38"/>
  <c r="K81" i="38"/>
  <c r="C82" i="38"/>
  <c r="I82" i="38"/>
  <c r="J82" i="38"/>
  <c r="K82" i="38"/>
  <c r="C83" i="38"/>
  <c r="I83" i="38"/>
  <c r="J83" i="38"/>
  <c r="K83" i="38"/>
  <c r="C84" i="38"/>
  <c r="I84" i="38"/>
  <c r="J84" i="38"/>
  <c r="K84" i="38"/>
  <c r="C85" i="38"/>
  <c r="I85" i="38"/>
  <c r="J85" i="38"/>
  <c r="K85" i="38"/>
  <c r="C86" i="38"/>
  <c r="I86" i="38"/>
  <c r="J86" i="38"/>
  <c r="K86" i="38"/>
  <c r="C87" i="38"/>
  <c r="I87" i="38"/>
  <c r="J87" i="38"/>
  <c r="K87" i="38"/>
  <c r="C88" i="38"/>
  <c r="I88" i="38"/>
  <c r="J88" i="38"/>
  <c r="K88" i="38"/>
  <c r="C89" i="38"/>
  <c r="I89" i="38"/>
  <c r="J89" i="38"/>
  <c r="K89" i="38"/>
  <c r="C90" i="38"/>
  <c r="I90" i="38"/>
  <c r="J90" i="38"/>
  <c r="K90" i="38"/>
  <c r="C91" i="38"/>
  <c r="I91" i="38"/>
  <c r="J91" i="38"/>
  <c r="K91" i="38"/>
  <c r="C92" i="38"/>
  <c r="I92" i="38"/>
  <c r="J92" i="38"/>
  <c r="K92" i="38"/>
  <c r="C93" i="38"/>
  <c r="I93" i="38"/>
  <c r="J93" i="38"/>
  <c r="K93" i="38"/>
  <c r="C94" i="38"/>
  <c r="I94" i="38"/>
  <c r="J94" i="38"/>
  <c r="K94" i="38"/>
  <c r="C95" i="38"/>
  <c r="I95" i="38"/>
  <c r="J95" i="38"/>
  <c r="K95" i="38"/>
  <c r="C96" i="38"/>
  <c r="I96" i="38"/>
  <c r="J96" i="38"/>
  <c r="K96" i="38"/>
  <c r="C97" i="38"/>
  <c r="I97" i="38"/>
  <c r="J97" i="38"/>
  <c r="K97" i="38"/>
  <c r="C98" i="38"/>
  <c r="I98" i="38"/>
  <c r="J98" i="38"/>
  <c r="K98" i="38"/>
  <c r="C99" i="38"/>
  <c r="I99" i="38"/>
  <c r="J99" i="38"/>
  <c r="K99" i="38"/>
  <c r="C100" i="38"/>
  <c r="I100" i="38"/>
  <c r="J100" i="38"/>
  <c r="K100" i="38"/>
  <c r="C101" i="38"/>
  <c r="I101" i="38"/>
  <c r="J101" i="38"/>
  <c r="K101" i="38"/>
  <c r="C102" i="38"/>
  <c r="I102" i="38"/>
  <c r="J102" i="38"/>
  <c r="K102" i="38"/>
  <c r="C103" i="38"/>
  <c r="I103" i="38"/>
  <c r="J103" i="38"/>
  <c r="K103" i="38"/>
  <c r="C104" i="38"/>
  <c r="I104" i="38"/>
  <c r="J104" i="38"/>
  <c r="K104" i="38"/>
  <c r="C105" i="38"/>
  <c r="I105" i="38"/>
  <c r="J105" i="38"/>
  <c r="K105" i="38"/>
  <c r="C106" i="38"/>
  <c r="I106" i="38"/>
  <c r="J106" i="38"/>
  <c r="K106" i="38"/>
  <c r="C107" i="38"/>
  <c r="I107" i="38"/>
  <c r="J107" i="38"/>
  <c r="K107" i="38"/>
  <c r="C108" i="38"/>
  <c r="I108" i="38"/>
  <c r="J108" i="38"/>
  <c r="K108" i="38"/>
  <c r="C109" i="38"/>
  <c r="I109" i="38"/>
  <c r="J109" i="38"/>
  <c r="K109" i="38"/>
  <c r="C110" i="38"/>
  <c r="I110" i="38"/>
  <c r="J110" i="38"/>
  <c r="K110" i="38"/>
  <c r="C111" i="38"/>
  <c r="I111" i="38"/>
  <c r="J111" i="38"/>
  <c r="K111" i="38"/>
  <c r="C112" i="38"/>
  <c r="I112" i="38"/>
  <c r="J112" i="38"/>
  <c r="K112" i="38"/>
  <c r="C113" i="38"/>
  <c r="I113" i="38"/>
  <c r="J113" i="38"/>
  <c r="K113" i="38"/>
  <c r="C114" i="38"/>
  <c r="I114" i="38"/>
  <c r="J114" i="38"/>
  <c r="K114" i="38"/>
  <c r="C115" i="38"/>
  <c r="I115" i="38"/>
  <c r="J115" i="38"/>
  <c r="K115" i="38"/>
  <c r="C116" i="38"/>
  <c r="I116" i="38"/>
  <c r="J116" i="38"/>
  <c r="K116" i="38"/>
  <c r="C117" i="38"/>
  <c r="I117" i="38"/>
  <c r="J117" i="38"/>
  <c r="K117" i="38"/>
  <c r="C118" i="38"/>
  <c r="I118" i="38"/>
  <c r="J118" i="38"/>
  <c r="K118" i="38"/>
  <c r="C119" i="38"/>
  <c r="I119" i="38"/>
  <c r="J119" i="38"/>
  <c r="K119" i="38"/>
  <c r="C120" i="38"/>
  <c r="I120" i="38"/>
  <c r="J120" i="38"/>
  <c r="K120" i="38"/>
  <c r="C121" i="38"/>
  <c r="I121" i="38"/>
  <c r="J121" i="38"/>
  <c r="K121" i="38"/>
  <c r="C122" i="38"/>
  <c r="I122" i="38"/>
  <c r="J122" i="38"/>
  <c r="K122" i="38"/>
  <c r="C123" i="38"/>
  <c r="I123" i="38"/>
  <c r="J123" i="38"/>
  <c r="K123" i="38"/>
  <c r="C126" i="38"/>
  <c r="I126" i="38"/>
  <c r="J126" i="38"/>
  <c r="K126" i="38"/>
  <c r="C127" i="38"/>
  <c r="I127" i="38"/>
  <c r="J127" i="38"/>
  <c r="K127" i="38"/>
  <c r="C128" i="38"/>
  <c r="I128" i="38"/>
  <c r="J128" i="38"/>
  <c r="K128" i="38"/>
  <c r="C129" i="38"/>
  <c r="I129" i="38"/>
  <c r="J129" i="38"/>
  <c r="K129" i="38"/>
  <c r="C130" i="38"/>
  <c r="I130" i="38"/>
  <c r="J130" i="38"/>
  <c r="K130" i="38"/>
  <c r="C131" i="38"/>
  <c r="I131" i="38"/>
  <c r="J131" i="38"/>
  <c r="K131" i="38"/>
  <c r="C132" i="38"/>
  <c r="I132" i="38"/>
  <c r="J132" i="38"/>
  <c r="K132" i="38"/>
  <c r="C133" i="38"/>
  <c r="I133" i="38"/>
  <c r="J133" i="38"/>
  <c r="K133" i="38"/>
  <c r="C134" i="38"/>
  <c r="I134" i="38"/>
  <c r="J134" i="38"/>
  <c r="K134" i="38"/>
  <c r="C135" i="38"/>
  <c r="I135" i="38"/>
  <c r="J135" i="38"/>
  <c r="K135" i="38"/>
  <c r="C136" i="38"/>
  <c r="I136" i="38"/>
  <c r="J136" i="38"/>
  <c r="K136" i="38"/>
  <c r="C137" i="38"/>
  <c r="I137" i="38"/>
  <c r="J137" i="38"/>
  <c r="K137" i="38"/>
  <c r="C139" i="38"/>
  <c r="I139" i="38"/>
  <c r="J139" i="38"/>
  <c r="K139" i="38"/>
  <c r="C140" i="38"/>
  <c r="I140" i="38"/>
  <c r="J140" i="38"/>
  <c r="K140" i="38"/>
  <c r="C141" i="38"/>
  <c r="I141" i="38"/>
  <c r="J141" i="38"/>
  <c r="K141" i="38"/>
  <c r="C142" i="38"/>
  <c r="I142" i="38"/>
  <c r="J142" i="38"/>
  <c r="K142" i="38"/>
  <c r="C143" i="38"/>
  <c r="I143" i="38"/>
  <c r="J143" i="38"/>
  <c r="K143" i="38"/>
  <c r="C144" i="38"/>
  <c r="I144" i="38"/>
  <c r="J144" i="38"/>
  <c r="K144" i="38"/>
  <c r="C145" i="38"/>
  <c r="I145" i="38"/>
  <c r="J145" i="38"/>
  <c r="K145" i="38"/>
  <c r="C146" i="38"/>
  <c r="I146" i="38"/>
  <c r="J146" i="38"/>
  <c r="K146" i="38"/>
  <c r="C147" i="38"/>
  <c r="I147" i="38"/>
  <c r="J147" i="38"/>
  <c r="K147" i="38"/>
  <c r="C148" i="38"/>
  <c r="I148" i="38"/>
  <c r="J148" i="38"/>
  <c r="K148" i="38"/>
  <c r="C149" i="38"/>
  <c r="I149" i="38"/>
  <c r="J149" i="38"/>
  <c r="K149" i="38"/>
  <c r="C150" i="38"/>
  <c r="I150" i="38"/>
  <c r="J150" i="38"/>
  <c r="K150" i="38"/>
  <c r="C152" i="38"/>
  <c r="I152" i="38"/>
  <c r="J152" i="38"/>
  <c r="K152" i="38"/>
  <c r="C153" i="38"/>
  <c r="I153" i="38"/>
  <c r="J153" i="38"/>
  <c r="K153" i="38"/>
  <c r="C154" i="38"/>
  <c r="I154" i="38"/>
  <c r="J154" i="38"/>
  <c r="K154" i="38"/>
  <c r="C169" i="38"/>
  <c r="I169" i="38"/>
  <c r="J169" i="38"/>
  <c r="K169" i="38"/>
  <c r="C170" i="38"/>
  <c r="I170" i="38"/>
  <c r="J170" i="38"/>
  <c r="K170" i="38"/>
  <c r="C171" i="38"/>
  <c r="I171" i="38"/>
  <c r="J171" i="38"/>
  <c r="K171" i="38"/>
  <c r="R62" i="38"/>
  <c r="S62" i="38"/>
  <c r="Q62" i="38"/>
  <c r="C28" i="38"/>
  <c r="J28" i="38"/>
  <c r="K28" i="38"/>
  <c r="C29" i="38"/>
  <c r="J29" i="38"/>
  <c r="K29" i="38"/>
  <c r="C30" i="38"/>
  <c r="J30" i="38"/>
  <c r="K30" i="38"/>
  <c r="C31" i="38"/>
  <c r="J31" i="38"/>
  <c r="K31" i="38"/>
  <c r="C32" i="38"/>
  <c r="C62" i="38" s="1"/>
  <c r="J32" i="38"/>
  <c r="J62" i="38" s="1"/>
  <c r="K32" i="38"/>
  <c r="K62" i="38" s="1"/>
  <c r="C33" i="38"/>
  <c r="J33" i="38"/>
  <c r="K33" i="38"/>
  <c r="C34" i="38"/>
  <c r="J34" i="38"/>
  <c r="K34" i="38"/>
  <c r="C35" i="38"/>
  <c r="J35" i="38"/>
  <c r="K35" i="38"/>
  <c r="C36" i="38"/>
  <c r="J36" i="38"/>
  <c r="K36" i="38"/>
  <c r="C37" i="38"/>
  <c r="J37" i="38"/>
  <c r="K37" i="38"/>
  <c r="C38" i="38"/>
  <c r="J38" i="38"/>
  <c r="K38" i="38"/>
  <c r="C39" i="38"/>
  <c r="J39" i="38"/>
  <c r="K39" i="38"/>
  <c r="C40" i="38"/>
  <c r="J40" i="38"/>
  <c r="K40" i="38"/>
  <c r="C41" i="38"/>
  <c r="J41" i="38"/>
  <c r="K41" i="38"/>
  <c r="C42" i="38"/>
  <c r="J42" i="38"/>
  <c r="K42" i="38"/>
  <c r="C43" i="38"/>
  <c r="J43" i="38"/>
  <c r="K43" i="38"/>
  <c r="C44" i="38"/>
  <c r="J44" i="38"/>
  <c r="K44" i="38"/>
  <c r="C45" i="38"/>
  <c r="J45" i="38"/>
  <c r="K45" i="38"/>
  <c r="C46" i="38"/>
  <c r="J46" i="38"/>
  <c r="K46" i="38"/>
  <c r="C47" i="38"/>
  <c r="J47" i="38"/>
  <c r="K47" i="38"/>
  <c r="C48" i="38"/>
  <c r="J48" i="38"/>
  <c r="K48" i="38"/>
  <c r="C49" i="38"/>
  <c r="J49" i="38"/>
  <c r="K49" i="38"/>
  <c r="C50" i="38"/>
  <c r="J50" i="38"/>
  <c r="K50" i="38"/>
  <c r="C17" i="39"/>
  <c r="C21" i="39"/>
  <c r="K21" i="39"/>
  <c r="C22" i="39"/>
  <c r="I22" i="39"/>
  <c r="J22" i="39"/>
  <c r="C23" i="39"/>
  <c r="I23" i="39"/>
  <c r="J23" i="39"/>
  <c r="C24" i="39"/>
  <c r="J24" i="39"/>
  <c r="K24" i="39"/>
  <c r="C25" i="39"/>
  <c r="C26" i="39"/>
  <c r="C27" i="39"/>
  <c r="J27" i="39"/>
  <c r="K27" i="39"/>
  <c r="C28" i="39"/>
  <c r="J28" i="39"/>
  <c r="K28" i="39"/>
  <c r="C29" i="39"/>
  <c r="J29" i="39"/>
  <c r="K29" i="39"/>
  <c r="C31" i="39"/>
  <c r="J31" i="39"/>
  <c r="K31" i="39"/>
  <c r="C32" i="39"/>
  <c r="I32" i="39"/>
  <c r="J32" i="39"/>
  <c r="C33" i="39"/>
  <c r="C34" i="39"/>
  <c r="J34" i="39"/>
  <c r="C35" i="39"/>
  <c r="C36" i="39"/>
  <c r="J36" i="39"/>
  <c r="C37" i="39"/>
  <c r="I37" i="39"/>
  <c r="J37" i="39"/>
  <c r="C38" i="39"/>
  <c r="C39" i="39"/>
  <c r="C40" i="39"/>
  <c r="I40" i="39"/>
  <c r="J40" i="39"/>
  <c r="C42" i="39"/>
  <c r="C43" i="39"/>
  <c r="J43" i="39"/>
  <c r="C44" i="39"/>
  <c r="J44" i="39"/>
  <c r="C45" i="39"/>
  <c r="I45" i="39"/>
  <c r="J45" i="39"/>
  <c r="C46" i="39"/>
  <c r="J46" i="39"/>
  <c r="C47" i="39"/>
  <c r="I47" i="39"/>
  <c r="C48" i="39"/>
  <c r="J48" i="39"/>
  <c r="K48" i="39"/>
  <c r="C49" i="39"/>
  <c r="J49" i="39"/>
  <c r="K49" i="39"/>
  <c r="C50" i="39"/>
  <c r="J50" i="39"/>
  <c r="K50" i="39"/>
  <c r="C51" i="39"/>
  <c r="I51" i="39"/>
  <c r="K51" i="39"/>
  <c r="C52" i="39"/>
  <c r="I52" i="39"/>
  <c r="J52" i="39"/>
  <c r="C53" i="39"/>
  <c r="I53" i="39"/>
  <c r="K53" i="39"/>
  <c r="C54" i="39"/>
  <c r="I54" i="39"/>
  <c r="C55" i="39"/>
  <c r="I55" i="39"/>
  <c r="K55" i="39"/>
  <c r="C56" i="39"/>
  <c r="J56" i="39"/>
  <c r="C57" i="39"/>
  <c r="J57" i="39"/>
  <c r="K57" i="39"/>
  <c r="C58" i="39"/>
  <c r="I58" i="39"/>
  <c r="J58" i="39"/>
  <c r="C59" i="39"/>
  <c r="J59" i="39"/>
  <c r="K59" i="39"/>
  <c r="C60" i="39"/>
  <c r="C61" i="39"/>
  <c r="C62" i="39"/>
  <c r="C63" i="39"/>
  <c r="C64" i="39"/>
  <c r="J64" i="39"/>
  <c r="K64" i="39"/>
  <c r="C65" i="39"/>
  <c r="C66" i="39"/>
  <c r="C67" i="39"/>
  <c r="J67" i="39"/>
  <c r="K67" i="39"/>
  <c r="C68" i="39"/>
  <c r="I68" i="39"/>
  <c r="J68" i="39"/>
  <c r="C69" i="39"/>
  <c r="J69" i="39"/>
  <c r="C70" i="39"/>
  <c r="J70" i="39"/>
  <c r="K70" i="39"/>
  <c r="C71" i="39"/>
  <c r="J71" i="39"/>
  <c r="K71" i="39"/>
  <c r="C72" i="39"/>
  <c r="C73" i="39"/>
  <c r="C74" i="39"/>
  <c r="J74" i="39"/>
  <c r="K73" i="39"/>
  <c r="K74" i="39"/>
  <c r="K72" i="39"/>
  <c r="K69" i="39"/>
  <c r="K68" i="39"/>
  <c r="K66" i="39"/>
  <c r="K65" i="39"/>
  <c r="K62" i="39"/>
  <c r="K61" i="39"/>
  <c r="K60" i="39"/>
  <c r="D58" i="39"/>
  <c r="K56" i="39"/>
  <c r="K54" i="39"/>
  <c r="K52" i="39"/>
  <c r="K47" i="39"/>
  <c r="K46" i="39"/>
  <c r="D45" i="39"/>
  <c r="K44" i="39"/>
  <c r="K43" i="39"/>
  <c r="K42" i="39"/>
  <c r="D40" i="39"/>
  <c r="K39" i="39"/>
  <c r="K38" i="39"/>
  <c r="D37" i="39"/>
  <c r="K36" i="39"/>
  <c r="K35" i="39"/>
  <c r="K34" i="39"/>
  <c r="K33" i="39"/>
  <c r="D32" i="39"/>
  <c r="K26" i="39"/>
  <c r="K25" i="39"/>
  <c r="D23" i="39"/>
  <c r="K22" i="39"/>
  <c r="K17" i="39"/>
  <c r="J73" i="39"/>
  <c r="J72" i="39"/>
  <c r="J66" i="39"/>
  <c r="J65" i="39"/>
  <c r="J62" i="39"/>
  <c r="J61" i="39"/>
  <c r="J60" i="39"/>
  <c r="D55" i="39"/>
  <c r="D53" i="39"/>
  <c r="D51" i="39"/>
  <c r="J42" i="39"/>
  <c r="J39" i="39"/>
  <c r="J38" i="39"/>
  <c r="J35" i="39"/>
  <c r="J33" i="39"/>
  <c r="J26" i="39"/>
  <c r="J25" i="39"/>
  <c r="J21" i="39"/>
  <c r="J17" i="39"/>
  <c r="I71" i="39"/>
  <c r="D70" i="39"/>
  <c r="I67" i="39"/>
  <c r="D64" i="39"/>
  <c r="I59" i="39"/>
  <c r="D57" i="39"/>
  <c r="D50" i="39"/>
  <c r="D49" i="39"/>
  <c r="D48" i="39"/>
  <c r="I43" i="39"/>
  <c r="I38" i="39"/>
  <c r="I34" i="39"/>
  <c r="D31" i="39"/>
  <c r="I29" i="39"/>
  <c r="D28" i="39"/>
  <c r="D27" i="39"/>
  <c r="I25" i="39"/>
  <c r="D24" i="39"/>
  <c r="I21" i="39"/>
  <c r="K96" i="39" l="1"/>
  <c r="K193" i="38"/>
  <c r="C193" i="38"/>
  <c r="C96" i="39"/>
  <c r="J96" i="39"/>
  <c r="J193" i="38"/>
  <c r="I193" i="38"/>
  <c r="D193" i="38"/>
  <c r="G76" i="39"/>
  <c r="G77" i="39"/>
  <c r="G75" i="39"/>
  <c r="G131" i="38"/>
  <c r="G122" i="38"/>
  <c r="G105" i="38"/>
  <c r="G80" i="38"/>
  <c r="G82" i="38"/>
  <c r="G74" i="38"/>
  <c r="G117" i="38"/>
  <c r="G101" i="38"/>
  <c r="G83" i="38"/>
  <c r="G70" i="38"/>
  <c r="G97" i="38"/>
  <c r="G88" i="38"/>
  <c r="G100" i="38"/>
  <c r="G68" i="38"/>
  <c r="G106" i="38"/>
  <c r="G139" i="38"/>
  <c r="G130" i="38"/>
  <c r="G112" i="38"/>
  <c r="G108" i="38"/>
  <c r="G116" i="38"/>
  <c r="G67" i="38"/>
  <c r="G170" i="38"/>
  <c r="G114" i="38"/>
  <c r="G111" i="38"/>
  <c r="G84" i="38"/>
  <c r="G81" i="38"/>
  <c r="G145" i="38"/>
  <c r="G98" i="38"/>
  <c r="G90" i="38"/>
  <c r="G148" i="38"/>
  <c r="G152" i="38"/>
  <c r="G118" i="38"/>
  <c r="G115" i="38"/>
  <c r="G134" i="38"/>
  <c r="G149" i="38"/>
  <c r="G141" i="38"/>
  <c r="G94" i="38"/>
  <c r="G86" i="38"/>
  <c r="G146" i="38"/>
  <c r="G128" i="38"/>
  <c r="G95" i="38"/>
  <c r="G78" i="38"/>
  <c r="G126" i="38"/>
  <c r="G121" i="38"/>
  <c r="G107" i="38"/>
  <c r="G104" i="38"/>
  <c r="G76" i="38"/>
  <c r="G73" i="38"/>
  <c r="G154" i="38"/>
  <c r="G150" i="38"/>
  <c r="G147" i="38"/>
  <c r="G129" i="38"/>
  <c r="G110" i="38"/>
  <c r="G96" i="38"/>
  <c r="G79" i="38"/>
  <c r="G171" i="38"/>
  <c r="G132" i="38"/>
  <c r="G113" i="38"/>
  <c r="G102" i="38"/>
  <c r="G99" i="38"/>
  <c r="G91" i="38"/>
  <c r="G66" i="38"/>
  <c r="G143" i="38"/>
  <c r="G136" i="38"/>
  <c r="G133" i="38"/>
  <c r="G123" i="38"/>
  <c r="G120" i="38"/>
  <c r="G92" i="38"/>
  <c r="G89" i="38"/>
  <c r="G75" i="38"/>
  <c r="G72" i="38"/>
  <c r="G140" i="38"/>
  <c r="G144" i="38"/>
  <c r="G127" i="38"/>
  <c r="G109" i="38"/>
  <c r="G93" i="38"/>
  <c r="G77" i="38"/>
  <c r="G169" i="38"/>
  <c r="G137" i="38"/>
  <c r="G119" i="38"/>
  <c r="G103" i="38"/>
  <c r="G87" i="38"/>
  <c r="G71" i="38"/>
  <c r="G142" i="38"/>
  <c r="G153" i="38"/>
  <c r="G135" i="38"/>
  <c r="G85" i="38"/>
  <c r="G69" i="38"/>
  <c r="D29" i="38"/>
  <c r="G29" i="38" s="1"/>
  <c r="I29" i="38"/>
  <c r="D44" i="38"/>
  <c r="G44" i="38" s="1"/>
  <c r="I44" i="38"/>
  <c r="D36" i="38"/>
  <c r="G36" i="38" s="1"/>
  <c r="I36" i="38"/>
  <c r="D35" i="38"/>
  <c r="G35" i="38" s="1"/>
  <c r="I35" i="38"/>
  <c r="D50" i="38"/>
  <c r="G50" i="38" s="1"/>
  <c r="I50" i="38"/>
  <c r="D42" i="38"/>
  <c r="G42" i="38" s="1"/>
  <c r="I42" i="38"/>
  <c r="D34" i="38"/>
  <c r="G34" i="38" s="1"/>
  <c r="I34" i="38"/>
  <c r="D37" i="38"/>
  <c r="G37" i="38" s="1"/>
  <c r="I37" i="38"/>
  <c r="D43" i="38"/>
  <c r="G43" i="38" s="1"/>
  <c r="I43" i="38"/>
  <c r="I49" i="38"/>
  <c r="D49" i="38"/>
  <c r="G49" i="38" s="1"/>
  <c r="I41" i="38"/>
  <c r="D41" i="38"/>
  <c r="G41" i="38" s="1"/>
  <c r="D33" i="38"/>
  <c r="G33" i="38" s="1"/>
  <c r="I33" i="38"/>
  <c r="D45" i="38"/>
  <c r="G45" i="38" s="1"/>
  <c r="I45" i="38"/>
  <c r="D48" i="38"/>
  <c r="G48" i="38" s="1"/>
  <c r="I48" i="38"/>
  <c r="D40" i="38"/>
  <c r="G40" i="38" s="1"/>
  <c r="I40" i="38"/>
  <c r="D32" i="38"/>
  <c r="I32" i="38"/>
  <c r="I62" i="38" s="1"/>
  <c r="I47" i="38"/>
  <c r="D47" i="38"/>
  <c r="G47" i="38" s="1"/>
  <c r="I39" i="38"/>
  <c r="D39" i="38"/>
  <c r="G39" i="38" s="1"/>
  <c r="D31" i="38"/>
  <c r="G31" i="38" s="1"/>
  <c r="I31" i="38"/>
  <c r="I46" i="38"/>
  <c r="D46" i="38"/>
  <c r="G46" i="38" s="1"/>
  <c r="I38" i="38"/>
  <c r="D38" i="38"/>
  <c r="G38" i="38" s="1"/>
  <c r="I30" i="38"/>
  <c r="D30" i="38"/>
  <c r="G30" i="38" s="1"/>
  <c r="D28" i="38"/>
  <c r="G28" i="38" s="1"/>
  <c r="I28" i="38"/>
  <c r="G37" i="39"/>
  <c r="D44" i="39"/>
  <c r="G44" i="39" s="1"/>
  <c r="D69" i="39"/>
  <c r="G69" i="39" s="1"/>
  <c r="G27" i="39"/>
  <c r="G28" i="39"/>
  <c r="D36" i="39"/>
  <c r="G36" i="39" s="1"/>
  <c r="D56" i="39"/>
  <c r="G56" i="39" s="1"/>
  <c r="D74" i="39"/>
  <c r="G74" i="39" s="1"/>
  <c r="J63" i="39"/>
  <c r="G23" i="39"/>
  <c r="D42" i="39"/>
  <c r="G42" i="39" s="1"/>
  <c r="D66" i="39"/>
  <c r="G24" i="39"/>
  <c r="D33" i="39"/>
  <c r="G33" i="39" s="1"/>
  <c r="G48" i="39"/>
  <c r="D62" i="39"/>
  <c r="G62" i="39" s="1"/>
  <c r="G58" i="39"/>
  <c r="J51" i="39"/>
  <c r="G49" i="39"/>
  <c r="G31" i="39"/>
  <c r="J53" i="39"/>
  <c r="D46" i="39"/>
  <c r="G46" i="39" s="1"/>
  <c r="G50" i="39"/>
  <c r="D26" i="39"/>
  <c r="G26" i="39" s="1"/>
  <c r="D61" i="39"/>
  <c r="G61" i="39" s="1"/>
  <c r="G70" i="39"/>
  <c r="D35" i="39"/>
  <c r="G35" i="39" s="1"/>
  <c r="D47" i="39"/>
  <c r="G47" i="39" s="1"/>
  <c r="J55" i="39"/>
  <c r="J47" i="39"/>
  <c r="D60" i="39"/>
  <c r="G60" i="39" s="1"/>
  <c r="D72" i="39"/>
  <c r="G72" i="39" s="1"/>
  <c r="G64" i="39"/>
  <c r="D73" i="39"/>
  <c r="G73" i="39" s="1"/>
  <c r="D65" i="39"/>
  <c r="G65" i="39" s="1"/>
  <c r="D17" i="39"/>
  <c r="G17" i="39" s="1"/>
  <c r="D39" i="39"/>
  <c r="G39" i="39" s="1"/>
  <c r="D54" i="39"/>
  <c r="G54" i="39" s="1"/>
  <c r="G51" i="39"/>
  <c r="G53" i="39"/>
  <c r="G45" i="39"/>
  <c r="G40" i="39"/>
  <c r="G32" i="39"/>
  <c r="G57" i="39"/>
  <c r="G55" i="39"/>
  <c r="I72" i="39"/>
  <c r="D71" i="39"/>
  <c r="G71" i="39" s="1"/>
  <c r="D67" i="39"/>
  <c r="G67" i="39" s="1"/>
  <c r="I64" i="39"/>
  <c r="D63" i="39"/>
  <c r="G63" i="39" s="1"/>
  <c r="I60" i="39"/>
  <c r="D59" i="39"/>
  <c r="G59" i="39" s="1"/>
  <c r="I56" i="39"/>
  <c r="I48" i="39"/>
  <c r="K45" i="39"/>
  <c r="I44" i="39"/>
  <c r="D43" i="39"/>
  <c r="G43" i="39" s="1"/>
  <c r="K40" i="39"/>
  <c r="I39" i="39"/>
  <c r="D38" i="39"/>
  <c r="G38" i="39" s="1"/>
  <c r="I35" i="39"/>
  <c r="D34" i="39"/>
  <c r="G34" i="39" s="1"/>
  <c r="K32" i="39"/>
  <c r="I31" i="39"/>
  <c r="D29" i="39"/>
  <c r="G29" i="39" s="1"/>
  <c r="I26" i="39"/>
  <c r="D25" i="39"/>
  <c r="G25" i="39" s="1"/>
  <c r="K23" i="39"/>
  <c r="D21" i="39"/>
  <c r="G21" i="39" s="1"/>
  <c r="I73" i="39"/>
  <c r="I69" i="39"/>
  <c r="D68" i="39"/>
  <c r="G68" i="39" s="1"/>
  <c r="I65" i="39"/>
  <c r="I61" i="39"/>
  <c r="K58" i="39"/>
  <c r="I57" i="39"/>
  <c r="D52" i="39"/>
  <c r="G52" i="39" s="1"/>
  <c r="I49" i="39"/>
  <c r="K37" i="39"/>
  <c r="I36" i="39"/>
  <c r="I27" i="39"/>
  <c r="D22" i="39"/>
  <c r="G22" i="39" s="1"/>
  <c r="J54" i="39"/>
  <c r="I74" i="39"/>
  <c r="I70" i="39"/>
  <c r="I66" i="39"/>
  <c r="I96" i="39" s="1"/>
  <c r="K63" i="39"/>
  <c r="I62" i="39"/>
  <c r="I50" i="39"/>
  <c r="I46" i="39"/>
  <c r="I42" i="39"/>
  <c r="I33" i="39"/>
  <c r="I28" i="39"/>
  <c r="I24" i="39"/>
  <c r="I17" i="39"/>
  <c r="I63" i="39"/>
  <c r="G193" i="38" l="1"/>
  <c r="G32" i="38"/>
  <c r="G62" i="38" s="1"/>
  <c r="D62" i="38"/>
  <c r="G66" i="39"/>
  <c r="G96" i="39" s="1"/>
  <c r="D96" i="39"/>
  <c r="F11" i="10" l="1"/>
  <c r="F35" i="10"/>
  <c r="F15" i="10"/>
  <c r="F19" i="10"/>
  <c r="F31" i="10" l="1"/>
  <c r="F27" i="10"/>
  <c r="F39" i="10"/>
  <c r="D89" i="39" l="1"/>
  <c r="C89" i="39"/>
  <c r="J172" i="38" l="1"/>
  <c r="I172" i="38"/>
  <c r="K172" i="38"/>
  <c r="D172" i="38"/>
  <c r="F173" i="38" s="1"/>
  <c r="D173" i="38" s="1"/>
  <c r="C172" i="38"/>
  <c r="E173" i="38" s="1"/>
  <c r="C173" i="38" s="1"/>
  <c r="J51" i="38"/>
  <c r="C51" i="38"/>
  <c r="E52" i="38" s="1"/>
  <c r="C52" i="38" s="1"/>
  <c r="C78" i="39"/>
  <c r="E79" i="39" s="1"/>
  <c r="C79" i="39" s="1"/>
  <c r="G172" i="38" l="1"/>
  <c r="C90" i="39" l="1"/>
  <c r="D90" i="39"/>
  <c r="A36" i="39" l="1"/>
  <c r="A37" i="39" s="1"/>
  <c r="A38" i="39" s="1"/>
  <c r="A39" i="39" s="1"/>
  <c r="A40" i="39" s="1"/>
  <c r="A41" i="39" l="1"/>
  <c r="A42" i="39" s="1"/>
  <c r="A43" i="39" s="1"/>
  <c r="A44" i="39" s="1"/>
  <c r="A45" i="39" s="1"/>
  <c r="A46" i="39" s="1"/>
  <c r="A47" i="39" s="1"/>
  <c r="A48" i="39" s="1"/>
  <c r="A49" i="39" s="1"/>
  <c r="A50" i="39" s="1"/>
  <c r="A51" i="39" s="1"/>
  <c r="A52" i="39" s="1"/>
  <c r="A53" i="39" s="1"/>
  <c r="A54" i="39" s="1"/>
  <c r="A55" i="39" s="1"/>
  <c r="A56" i="39" s="1"/>
  <c r="A57" i="39" s="1"/>
  <c r="A58" i="39" s="1"/>
  <c r="A59" i="39" s="1"/>
  <c r="A60" i="39" s="1"/>
  <c r="A61" i="39" s="1"/>
  <c r="A62" i="39" s="1"/>
  <c r="A63" i="39" s="1"/>
  <c r="A64" i="39" s="1"/>
  <c r="A65" i="39" s="1"/>
  <c r="A66" i="39" s="1"/>
  <c r="A67" i="39" s="1"/>
  <c r="A68" i="39" s="1"/>
  <c r="A69" i="39" s="1"/>
  <c r="A70" i="39" s="1"/>
  <c r="A71" i="39" s="1"/>
  <c r="A72" i="39" s="1"/>
  <c r="A73" i="39" s="1"/>
  <c r="A74" i="39" s="1"/>
  <c r="A75" i="39" s="1"/>
  <c r="A76" i="39" s="1"/>
  <c r="A77" i="39" s="1"/>
  <c r="A78" i="39" s="1"/>
  <c r="A79" i="39" s="1"/>
  <c r="A80" i="39" s="1"/>
  <c r="A81" i="39" s="1"/>
  <c r="A82" i="39" s="1"/>
  <c r="A83" i="39" s="1"/>
  <c r="A84" i="39" s="1"/>
  <c r="A85" i="39" s="1"/>
  <c r="A86" i="39" s="1"/>
  <c r="A87" i="39" s="1"/>
  <c r="A88" i="39" s="1"/>
  <c r="A89" i="39" s="1"/>
  <c r="A90" i="39" s="1"/>
  <c r="A91" i="39" s="1"/>
  <c r="A92" i="39" s="1"/>
  <c r="A93" i="39" s="1"/>
  <c r="K59" i="6"/>
  <c r="E59" i="6" l="1"/>
  <c r="K58" i="6"/>
  <c r="K57" i="6"/>
  <c r="E57" i="6" s="1"/>
  <c r="J56" i="6"/>
  <c r="K56" i="6" s="1"/>
  <c r="E56" i="6" s="1"/>
  <c r="E58" i="6" l="1"/>
  <c r="E36" i="30" l="1"/>
  <c r="E47" i="9" l="1"/>
  <c r="E48" i="9"/>
  <c r="E49" i="9"/>
  <c r="E50" i="9"/>
  <c r="E52" i="9" l="1"/>
  <c r="E46" i="9"/>
  <c r="E53" i="9"/>
  <c r="E45" i="9"/>
  <c r="E51" i="9"/>
  <c r="E37" i="9"/>
  <c r="E40" i="9"/>
  <c r="E38" i="9"/>
  <c r="E39" i="9"/>
  <c r="K60" i="6" l="1"/>
  <c r="G50" i="5"/>
  <c r="E50" i="5"/>
  <c r="P54" i="50" l="1"/>
  <c r="Q52" i="50"/>
  <c r="Q51" i="50"/>
  <c r="P45" i="50"/>
  <c r="P65" i="50" l="1"/>
  <c r="P36" i="50"/>
  <c r="D96" i="6" l="1"/>
  <c r="F38" i="51" l="1"/>
  <c r="D38" i="51"/>
  <c r="H36" i="51"/>
  <c r="L33" i="51"/>
  <c r="N33" i="51" s="1"/>
  <c r="H33" i="51"/>
  <c r="J31" i="51"/>
  <c r="H31" i="51"/>
  <c r="F27" i="51"/>
  <c r="D24" i="51"/>
  <c r="D25" i="51" s="1"/>
  <c r="L21" i="51"/>
  <c r="N21" i="51" s="1"/>
  <c r="H21" i="51"/>
  <c r="L19" i="51"/>
  <c r="N19" i="51" s="1"/>
  <c r="H19" i="51"/>
  <c r="J17" i="51"/>
  <c r="J25" i="51" s="1"/>
  <c r="D17" i="51"/>
  <c r="H17" i="51" s="1"/>
  <c r="A16" i="51"/>
  <c r="A17" i="51" s="1"/>
  <c r="A19" i="51" s="1"/>
  <c r="A21" i="51" s="1"/>
  <c r="A23" i="51" s="1"/>
  <c r="A24" i="51" s="1"/>
  <c r="A25" i="51" s="1"/>
  <c r="A27" i="51" s="1"/>
  <c r="A31" i="51" s="1"/>
  <c r="A33" i="51" s="1"/>
  <c r="A36" i="51" s="1"/>
  <c r="A38" i="51" s="1"/>
  <c r="L17" i="51" l="1"/>
  <c r="N17" i="51" s="1"/>
  <c r="D27" i="51"/>
  <c r="J27" i="51"/>
  <c r="L25" i="51"/>
  <c r="L31" i="51"/>
  <c r="N31" i="51" s="1"/>
  <c r="J36" i="51"/>
  <c r="L36" i="51" s="1"/>
  <c r="N36" i="51" s="1"/>
  <c r="H25" i="51"/>
  <c r="N38" i="51" l="1"/>
  <c r="L27" i="51"/>
  <c r="J38" i="51"/>
  <c r="N25" i="51"/>
  <c r="N27" i="51" s="1"/>
  <c r="L38" i="51"/>
  <c r="D876" i="13" l="1"/>
  <c r="D790" i="13"/>
  <c r="D54" i="38" l="1"/>
  <c r="C54" i="38"/>
  <c r="D58" i="38" l="1"/>
  <c r="D179" i="38"/>
  <c r="D178" i="38"/>
  <c r="D177" i="38"/>
  <c r="C179" i="38"/>
  <c r="C178" i="38"/>
  <c r="C177" i="38"/>
  <c r="L46" i="2" l="1"/>
  <c r="L45" i="2"/>
  <c r="I54" i="6"/>
  <c r="I53" i="6"/>
  <c r="I41" i="6"/>
  <c r="O186" i="38"/>
  <c r="O192" i="38" s="1"/>
  <c r="N186" i="38"/>
  <c r="N192" i="38" s="1"/>
  <c r="M186" i="38"/>
  <c r="M192" i="38" s="1"/>
  <c r="O61" i="38"/>
  <c r="N61" i="38"/>
  <c r="M61" i="38"/>
  <c r="O23" i="38"/>
  <c r="N23" i="38"/>
  <c r="M23" i="38"/>
  <c r="G33" i="5" l="1"/>
  <c r="G35" i="5"/>
  <c r="G27" i="5"/>
  <c r="G25" i="5"/>
  <c r="F87" i="35"/>
  <c r="F86" i="35"/>
  <c r="I39" i="42" l="1"/>
  <c r="I38" i="42"/>
  <c r="I37" i="42"/>
  <c r="I36" i="42"/>
  <c r="I35" i="42"/>
  <c r="I34" i="42"/>
  <c r="I33" i="42"/>
  <c r="I32" i="42"/>
  <c r="I31" i="42"/>
  <c r="E39" i="42"/>
  <c r="E38" i="42"/>
  <c r="E37" i="42"/>
  <c r="E36" i="42"/>
  <c r="E35" i="42"/>
  <c r="E34" i="42"/>
  <c r="E33" i="42"/>
  <c r="E32" i="42"/>
  <c r="E31" i="42"/>
  <c r="K39" i="42" l="1"/>
  <c r="K34" i="42"/>
  <c r="K33" i="42"/>
  <c r="K35" i="42"/>
  <c r="K31" i="42"/>
  <c r="K38" i="42"/>
  <c r="K37" i="42"/>
  <c r="K32" i="42"/>
  <c r="K36" i="42"/>
  <c r="O68" i="50" l="1"/>
  <c r="O39" i="50"/>
  <c r="N68" i="50" l="1"/>
  <c r="M68" i="50" l="1"/>
  <c r="L68" i="50"/>
  <c r="K68" i="50"/>
  <c r="J68" i="50"/>
  <c r="I68" i="50"/>
  <c r="P64" i="50"/>
  <c r="P63" i="50"/>
  <c r="Q50" i="50"/>
  <c r="Q47" i="50"/>
  <c r="Q46" i="50"/>
  <c r="P53" i="50"/>
  <c r="P49" i="50"/>
  <c r="P48" i="50"/>
  <c r="P44" i="50"/>
  <c r="K39" i="50"/>
  <c r="J39" i="50"/>
  <c r="I39" i="50"/>
  <c r="P35" i="50"/>
  <c r="P34" i="50"/>
  <c r="Q18" i="50"/>
  <c r="Q68" i="50" l="1"/>
  <c r="P68" i="50"/>
  <c r="E91" i="30" l="1"/>
  <c r="E68" i="9" l="1"/>
  <c r="A8" i="49" l="1"/>
  <c r="B39" i="49"/>
  <c r="B40" i="49" s="1"/>
  <c r="B41" i="49" s="1"/>
  <c r="B42" i="49" s="1"/>
  <c r="B43" i="49" s="1"/>
  <c r="B44" i="49" s="1"/>
  <c r="B45" i="49" s="1"/>
  <c r="B46" i="49" s="1"/>
  <c r="B47" i="49" s="1"/>
  <c r="B48" i="49" s="1"/>
  <c r="B49" i="49" s="1"/>
  <c r="B50" i="49" s="1"/>
  <c r="B36" i="49"/>
  <c r="B21" i="49"/>
  <c r="B22" i="49" s="1"/>
  <c r="B23" i="49" s="1"/>
  <c r="B24" i="49" s="1"/>
  <c r="B25" i="49" s="1"/>
  <c r="B26" i="49" s="1"/>
  <c r="B27" i="49" s="1"/>
  <c r="B28" i="49" s="1"/>
  <c r="B29" i="49" s="1"/>
  <c r="B30" i="49" s="1"/>
  <c r="B31" i="49" s="1"/>
  <c r="B32" i="49" s="1"/>
  <c r="F15" i="49"/>
  <c r="F15" i="47"/>
  <c r="B39" i="47"/>
  <c r="B40" i="47" s="1"/>
  <c r="B41" i="47" s="1"/>
  <c r="B42" i="47" s="1"/>
  <c r="B43" i="47" s="1"/>
  <c r="B44" i="47" s="1"/>
  <c r="B45" i="47" s="1"/>
  <c r="B46" i="47" s="1"/>
  <c r="B47" i="47" s="1"/>
  <c r="B48" i="47" s="1"/>
  <c r="B49" i="47" s="1"/>
  <c r="B50" i="47" s="1"/>
  <c r="B36" i="47"/>
  <c r="B21" i="47"/>
  <c r="B22" i="47" s="1"/>
  <c r="B23" i="47" s="1"/>
  <c r="B24" i="47" s="1"/>
  <c r="B25" i="47" s="1"/>
  <c r="B26" i="47" s="1"/>
  <c r="B27" i="47" s="1"/>
  <c r="B28" i="47" s="1"/>
  <c r="B29" i="47" s="1"/>
  <c r="B30" i="47" s="1"/>
  <c r="B31" i="47" s="1"/>
  <c r="B32" i="47" s="1"/>
  <c r="A8" i="47"/>
  <c r="B36" i="32"/>
  <c r="B39" i="32"/>
  <c r="B21" i="32"/>
  <c r="A8" i="32"/>
  <c r="C182" i="38" l="1"/>
  <c r="C181" i="38"/>
  <c r="C180" i="38"/>
  <c r="C176" i="38"/>
  <c r="C175" i="38"/>
  <c r="C174" i="38"/>
  <c r="C190" i="38"/>
  <c r="G18" i="5" l="1"/>
  <c r="H251" i="2"/>
  <c r="O1367" i="13" l="1"/>
  <c r="M1367" i="13"/>
  <c r="O1366" i="13"/>
  <c r="M1366" i="13"/>
  <c r="O1365" i="13"/>
  <c r="M1365" i="13"/>
  <c r="O1364" i="13"/>
  <c r="M1364" i="13"/>
  <c r="O1363" i="13"/>
  <c r="M1363" i="13"/>
  <c r="O1362" i="13"/>
  <c r="M1362" i="13"/>
  <c r="O1361" i="13"/>
  <c r="M1361" i="13"/>
  <c r="O1360" i="13"/>
  <c r="M1360" i="13"/>
  <c r="O1359" i="13"/>
  <c r="M1359" i="13"/>
  <c r="O1358" i="13"/>
  <c r="M1358" i="13"/>
  <c r="O1357" i="13"/>
  <c r="M1357" i="13"/>
  <c r="O1356" i="13"/>
  <c r="M1356" i="13"/>
  <c r="O1355" i="13"/>
  <c r="M1355" i="13"/>
  <c r="O1354" i="13"/>
  <c r="M1354" i="13"/>
  <c r="O1353" i="13"/>
  <c r="M1353" i="13"/>
  <c r="O1352" i="13"/>
  <c r="M1352" i="13"/>
  <c r="O1351" i="13"/>
  <c r="M1351" i="13"/>
  <c r="O1350" i="13"/>
  <c r="M1350" i="13"/>
  <c r="O1349" i="13"/>
  <c r="M1349" i="13"/>
  <c r="O1348" i="13"/>
  <c r="M1348" i="13"/>
  <c r="O1347" i="13"/>
  <c r="M1347" i="13"/>
  <c r="O1346" i="13"/>
  <c r="M1346" i="13"/>
  <c r="O1345" i="13"/>
  <c r="M1345" i="13"/>
  <c r="O1344" i="13"/>
  <c r="M1344" i="13"/>
  <c r="O1343" i="13"/>
  <c r="M1343" i="13"/>
  <c r="O1342" i="13"/>
  <c r="M1342" i="13"/>
  <c r="O1341" i="13"/>
  <c r="M1341" i="13"/>
  <c r="O1340" i="13"/>
  <c r="M1340" i="13"/>
  <c r="O1339" i="13"/>
  <c r="M1339" i="13"/>
  <c r="O1338" i="13"/>
  <c r="M1338" i="13"/>
  <c r="O1337" i="13"/>
  <c r="M1337" i="13"/>
  <c r="O1336" i="13"/>
  <c r="M1336" i="13"/>
  <c r="O1335" i="13"/>
  <c r="M1335" i="13"/>
  <c r="O1334" i="13"/>
  <c r="M1334" i="13"/>
  <c r="O1333" i="13"/>
  <c r="M1333" i="13"/>
  <c r="O1332" i="13"/>
  <c r="M1332" i="13"/>
  <c r="O1331" i="13"/>
  <c r="M1331" i="13"/>
  <c r="O1330" i="13"/>
  <c r="M1330" i="13"/>
  <c r="O1329" i="13"/>
  <c r="M1329" i="13"/>
  <c r="O1328" i="13"/>
  <c r="M1328" i="13"/>
  <c r="O1327" i="13"/>
  <c r="M1327" i="13"/>
  <c r="O1326" i="13"/>
  <c r="M1326" i="13"/>
  <c r="O1325" i="13"/>
  <c r="M1325" i="13"/>
  <c r="O1324" i="13"/>
  <c r="M1324" i="13"/>
  <c r="O1323" i="13"/>
  <c r="M1323" i="13"/>
  <c r="O1322" i="13"/>
  <c r="M1322" i="13"/>
  <c r="O1321" i="13"/>
  <c r="M1321" i="13"/>
  <c r="O1320" i="13"/>
  <c r="M1320" i="13"/>
  <c r="O1319" i="13"/>
  <c r="M1319" i="13"/>
  <c r="O1318" i="13"/>
  <c r="M1318" i="13"/>
  <c r="O1317" i="13"/>
  <c r="M1317" i="13"/>
  <c r="O1316" i="13"/>
  <c r="M1316" i="13"/>
  <c r="O1315" i="13"/>
  <c r="M1315" i="13"/>
  <c r="O1309" i="13"/>
  <c r="M1309" i="13"/>
  <c r="O1308" i="13"/>
  <c r="M1308" i="13"/>
  <c r="D1308" i="13"/>
  <c r="C1308" i="13"/>
  <c r="C1309" i="13" s="1"/>
  <c r="C1310" i="13" s="1"/>
  <c r="C1311" i="13" s="1"/>
  <c r="C1312" i="13" s="1"/>
  <c r="C1313" i="13" s="1"/>
  <c r="C1314" i="13" s="1"/>
  <c r="C1315" i="13" s="1"/>
  <c r="C1316" i="13" s="1"/>
  <c r="C1317" i="13" s="1"/>
  <c r="C1318" i="13" s="1"/>
  <c r="C1319" i="13" s="1"/>
  <c r="C1320" i="13" s="1"/>
  <c r="C1321" i="13" s="1"/>
  <c r="C1322" i="13" s="1"/>
  <c r="C1323" i="13" s="1"/>
  <c r="C1324" i="13" s="1"/>
  <c r="C1325" i="13" s="1"/>
  <c r="C1326" i="13" s="1"/>
  <c r="C1327" i="13" s="1"/>
  <c r="C1328" i="13" s="1"/>
  <c r="C1329" i="13" s="1"/>
  <c r="C1330" i="13" s="1"/>
  <c r="C1331" i="13" s="1"/>
  <c r="C1332" i="13" s="1"/>
  <c r="C1333" i="13" s="1"/>
  <c r="C1334" i="13" s="1"/>
  <c r="C1335" i="13" s="1"/>
  <c r="C1336" i="13" s="1"/>
  <c r="C1337" i="13" s="1"/>
  <c r="L1303" i="13"/>
  <c r="J1301" i="13"/>
  <c r="P1289" i="13"/>
  <c r="O1289" i="13"/>
  <c r="J1214" i="13"/>
  <c r="J1127" i="13"/>
  <c r="J1041" i="13"/>
  <c r="J955" i="13"/>
  <c r="J869" i="13"/>
  <c r="J783" i="13"/>
  <c r="J697" i="13"/>
  <c r="J611" i="13"/>
  <c r="J525" i="13"/>
  <c r="J439" i="13"/>
  <c r="J353" i="13"/>
  <c r="J267" i="13"/>
  <c r="J181" i="13"/>
  <c r="P1354" i="13" l="1"/>
  <c r="P1358" i="13"/>
  <c r="P1362" i="13"/>
  <c r="P1366" i="13"/>
  <c r="P1309" i="13"/>
  <c r="P1316" i="13"/>
  <c r="P1342" i="13"/>
  <c r="P1327" i="13"/>
  <c r="P1337" i="13"/>
  <c r="P1349" i="13"/>
  <c r="P1357" i="13"/>
  <c r="P1359" i="13"/>
  <c r="P1361" i="13"/>
  <c r="P1365" i="13"/>
  <c r="P1323" i="13"/>
  <c r="P1325" i="13"/>
  <c r="P1333" i="13"/>
  <c r="P1339" i="13"/>
  <c r="P1347" i="13"/>
  <c r="P1320" i="13"/>
  <c r="P1324" i="13"/>
  <c r="P1328" i="13"/>
  <c r="P1330" i="13"/>
  <c r="P1334" i="13"/>
  <c r="P1338" i="13"/>
  <c r="P1329" i="13"/>
  <c r="P1346" i="13"/>
  <c r="P1341" i="13"/>
  <c r="P1350" i="13"/>
  <c r="P1322" i="13"/>
  <c r="P1353" i="13"/>
  <c r="P1363" i="13"/>
  <c r="P1317" i="13"/>
  <c r="P1319" i="13"/>
  <c r="P1340" i="13"/>
  <c r="P1345" i="13"/>
  <c r="P1355" i="13"/>
  <c r="P1360" i="13"/>
  <c r="P1308" i="13"/>
  <c r="P1315" i="13"/>
  <c r="P1352" i="13"/>
  <c r="C1338" i="13"/>
  <c r="C1339" i="13" s="1"/>
  <c r="C1340" i="13" s="1"/>
  <c r="C1341" i="13" s="1"/>
  <c r="C1342" i="13" s="1"/>
  <c r="C1343" i="13" s="1"/>
  <c r="C1344" i="13" s="1"/>
  <c r="C1345" i="13" s="1"/>
  <c r="C1346" i="13" s="1"/>
  <c r="C1347" i="13" s="1"/>
  <c r="C1348" i="13" s="1"/>
  <c r="C1349" i="13" s="1"/>
  <c r="C1350" i="13" s="1"/>
  <c r="C1351" i="13" s="1"/>
  <c r="C1352" i="13" s="1"/>
  <c r="C1353" i="13" s="1"/>
  <c r="C1354" i="13" s="1"/>
  <c r="C1355" i="13" s="1"/>
  <c r="C1356" i="13" s="1"/>
  <c r="C1357" i="13" s="1"/>
  <c r="C1358" i="13" s="1"/>
  <c r="C1359" i="13" s="1"/>
  <c r="C1360" i="13" s="1"/>
  <c r="C1361" i="13" s="1"/>
  <c r="C1362" i="13" s="1"/>
  <c r="C1363" i="13" s="1"/>
  <c r="C1364" i="13" s="1"/>
  <c r="C1365" i="13" s="1"/>
  <c r="C1366" i="13" s="1"/>
  <c r="C1367" i="13" s="1"/>
  <c r="N1296" i="13"/>
  <c r="M1296" i="13"/>
  <c r="P1318" i="13"/>
  <c r="P1321" i="13"/>
  <c r="P1326" i="13"/>
  <c r="P1332" i="13"/>
  <c r="P1343" i="13"/>
  <c r="P1356" i="13"/>
  <c r="P1351" i="13"/>
  <c r="P1364" i="13"/>
  <c r="L1295" i="13"/>
  <c r="P1335" i="13"/>
  <c r="P1348" i="13"/>
  <c r="P1367" i="13"/>
  <c r="P1331" i="13"/>
  <c r="P1336" i="13"/>
  <c r="P1344" i="13"/>
  <c r="O1296" i="13" l="1"/>
  <c r="F61" i="9"/>
  <c r="D42" i="9" l="1"/>
  <c r="G162" i="2" s="1"/>
  <c r="E60" i="6"/>
  <c r="K55" i="6"/>
  <c r="E55" i="6" s="1"/>
  <c r="K54" i="6"/>
  <c r="E54" i="6" s="1"/>
  <c r="K53" i="6"/>
  <c r="E53" i="6" s="1"/>
  <c r="K52" i="6"/>
  <c r="E52" i="6" s="1"/>
  <c r="K45" i="6"/>
  <c r="E45" i="6" s="1"/>
  <c r="K46" i="6"/>
  <c r="E46" i="6" s="1"/>
  <c r="K47" i="6"/>
  <c r="E47" i="6" s="1"/>
  <c r="K48" i="6"/>
  <c r="E48" i="6" s="1"/>
  <c r="J49" i="6"/>
  <c r="K49" i="6" s="1"/>
  <c r="E49" i="6" s="1"/>
  <c r="K50" i="6"/>
  <c r="E50" i="6" s="1"/>
  <c r="K51" i="6"/>
  <c r="E51" i="6" s="1"/>
  <c r="G44" i="48" l="1"/>
  <c r="C81" i="39" l="1"/>
  <c r="D81" i="39"/>
  <c r="C82" i="39"/>
  <c r="D82" i="39"/>
  <c r="C83" i="39"/>
  <c r="D83" i="39"/>
  <c r="C84" i="39"/>
  <c r="D84" i="39"/>
  <c r="C85" i="39"/>
  <c r="D85" i="39"/>
  <c r="C86" i="39"/>
  <c r="D86" i="39"/>
  <c r="C87" i="39"/>
  <c r="D87" i="39"/>
  <c r="C88" i="39"/>
  <c r="D88" i="39"/>
  <c r="D80" i="39"/>
  <c r="C80" i="39"/>
  <c r="G34" i="5"/>
  <c r="D190" i="38"/>
  <c r="G190" i="38" s="1"/>
  <c r="D182" i="38"/>
  <c r="D175" i="38"/>
  <c r="D176" i="38"/>
  <c r="D180" i="38"/>
  <c r="D181" i="38"/>
  <c r="D174" i="38"/>
  <c r="C57" i="38"/>
  <c r="D57" i="38"/>
  <c r="D55" i="38"/>
  <c r="C55" i="38"/>
  <c r="D21" i="38"/>
  <c r="C21" i="38"/>
  <c r="O1280" i="13"/>
  <c r="M1280" i="13"/>
  <c r="O1279" i="13"/>
  <c r="M1279" i="13"/>
  <c r="O1278" i="13"/>
  <c r="M1278" i="13"/>
  <c r="O1277" i="13"/>
  <c r="M1277" i="13"/>
  <c r="O1276" i="13"/>
  <c r="M1276" i="13"/>
  <c r="O1275" i="13"/>
  <c r="M1275" i="13"/>
  <c r="O1274" i="13"/>
  <c r="M1274" i="13"/>
  <c r="O1273" i="13"/>
  <c r="M1273" i="13"/>
  <c r="O1272" i="13"/>
  <c r="M1272" i="13"/>
  <c r="O1271" i="13"/>
  <c r="M1271" i="13"/>
  <c r="O1270" i="13"/>
  <c r="M1270" i="13"/>
  <c r="O1269" i="13"/>
  <c r="M1269" i="13"/>
  <c r="O1268" i="13"/>
  <c r="M1268" i="13"/>
  <c r="O1267" i="13"/>
  <c r="M1267" i="13"/>
  <c r="O1266" i="13"/>
  <c r="M1266" i="13"/>
  <c r="O1265" i="13"/>
  <c r="M1265" i="13"/>
  <c r="O1264" i="13"/>
  <c r="M1264" i="13"/>
  <c r="O1263" i="13"/>
  <c r="M1263" i="13"/>
  <c r="O1262" i="13"/>
  <c r="M1262" i="13"/>
  <c r="O1261" i="13"/>
  <c r="M1261" i="13"/>
  <c r="O1260" i="13"/>
  <c r="M1260" i="13"/>
  <c r="O1259" i="13"/>
  <c r="M1259" i="13"/>
  <c r="O1258" i="13"/>
  <c r="M1258" i="13"/>
  <c r="O1257" i="13"/>
  <c r="M1257" i="13"/>
  <c r="O1256" i="13"/>
  <c r="M1256" i="13"/>
  <c r="O1255" i="13"/>
  <c r="M1255" i="13"/>
  <c r="O1254" i="13"/>
  <c r="M1254" i="13"/>
  <c r="O1253" i="13"/>
  <c r="M1253" i="13"/>
  <c r="O1252" i="13"/>
  <c r="M1252" i="13"/>
  <c r="O1251" i="13"/>
  <c r="M1251" i="13"/>
  <c r="O1250" i="13"/>
  <c r="M1250" i="13"/>
  <c r="O1249" i="13"/>
  <c r="M1249" i="13"/>
  <c r="O1248" i="13"/>
  <c r="M1248" i="13"/>
  <c r="O1247" i="13"/>
  <c r="M1247" i="13"/>
  <c r="O1246" i="13"/>
  <c r="M1246" i="13"/>
  <c r="O1245" i="13"/>
  <c r="M1245" i="13"/>
  <c r="O1244" i="13"/>
  <c r="M1244" i="13"/>
  <c r="O1243" i="13"/>
  <c r="M1243" i="13"/>
  <c r="O1242" i="13"/>
  <c r="M1242" i="13"/>
  <c r="O1241" i="13"/>
  <c r="M1241" i="13"/>
  <c r="O1240" i="13"/>
  <c r="M1240" i="13"/>
  <c r="O1239" i="13"/>
  <c r="M1239" i="13"/>
  <c r="O1238" i="13"/>
  <c r="M1238" i="13"/>
  <c r="O1237" i="13"/>
  <c r="M1237" i="13"/>
  <c r="O1236" i="13"/>
  <c r="M1236" i="13"/>
  <c r="O1235" i="13"/>
  <c r="M1235" i="13"/>
  <c r="O1234" i="13"/>
  <c r="M1234" i="13"/>
  <c r="O1233" i="13"/>
  <c r="M1233" i="13"/>
  <c r="O1232" i="13"/>
  <c r="M1232" i="13"/>
  <c r="O1231" i="13"/>
  <c r="M1231" i="13"/>
  <c r="O1230" i="13"/>
  <c r="M1230" i="13"/>
  <c r="O1222" i="13"/>
  <c r="M1222" i="13"/>
  <c r="D1221" i="13"/>
  <c r="C1221" i="13"/>
  <c r="C1222" i="13" s="1"/>
  <c r="C1223" i="13" s="1"/>
  <c r="C1224" i="13" s="1"/>
  <c r="C1225" i="13" s="1"/>
  <c r="C1226" i="13" s="1"/>
  <c r="C1227" i="13" s="1"/>
  <c r="C1228" i="13" s="1"/>
  <c r="C1229" i="13" s="1"/>
  <c r="C1230" i="13" s="1"/>
  <c r="C1231" i="13" s="1"/>
  <c r="C1232" i="13" s="1"/>
  <c r="C1233" i="13" s="1"/>
  <c r="C1234" i="13" s="1"/>
  <c r="C1235" i="13" s="1"/>
  <c r="C1236" i="13" s="1"/>
  <c r="C1237" i="13" s="1"/>
  <c r="C1238" i="13" s="1"/>
  <c r="C1239" i="13" s="1"/>
  <c r="C1240" i="13" s="1"/>
  <c r="C1241" i="13" s="1"/>
  <c r="C1242" i="13" s="1"/>
  <c r="C1243" i="13" s="1"/>
  <c r="C1244" i="13" s="1"/>
  <c r="C1245" i="13" s="1"/>
  <c r="C1246" i="13" s="1"/>
  <c r="C1247" i="13" s="1"/>
  <c r="C1248" i="13" s="1"/>
  <c r="C1249" i="13" s="1"/>
  <c r="C1250" i="13" s="1"/>
  <c r="M1209" i="13" s="1"/>
  <c r="L1216" i="13"/>
  <c r="L1208" i="13"/>
  <c r="P1202" i="13"/>
  <c r="O1202" i="13"/>
  <c r="E67" i="9"/>
  <c r="O1193" i="13"/>
  <c r="M1193" i="13"/>
  <c r="O1192" i="13"/>
  <c r="M1192" i="13"/>
  <c r="O1191" i="13"/>
  <c r="M1191" i="13"/>
  <c r="O1190" i="13"/>
  <c r="M1190" i="13"/>
  <c r="O1189" i="13"/>
  <c r="M1189" i="13"/>
  <c r="O1188" i="13"/>
  <c r="M1188" i="13"/>
  <c r="O1187" i="13"/>
  <c r="M1187" i="13"/>
  <c r="O1186" i="13"/>
  <c r="M1186" i="13"/>
  <c r="O1185" i="13"/>
  <c r="M1185" i="13"/>
  <c r="O1184" i="13"/>
  <c r="M1184" i="13"/>
  <c r="O1183" i="13"/>
  <c r="M1183" i="13"/>
  <c r="O1182" i="13"/>
  <c r="M1182" i="13"/>
  <c r="O1181" i="13"/>
  <c r="M1181" i="13"/>
  <c r="O1180" i="13"/>
  <c r="M1180" i="13"/>
  <c r="O1179" i="13"/>
  <c r="M1179" i="13"/>
  <c r="O1178" i="13"/>
  <c r="M1178" i="13"/>
  <c r="O1177" i="13"/>
  <c r="M1177" i="13"/>
  <c r="O1176" i="13"/>
  <c r="M1176" i="13"/>
  <c r="O1175" i="13"/>
  <c r="M1175" i="13"/>
  <c r="O1174" i="13"/>
  <c r="M1174" i="13"/>
  <c r="O1173" i="13"/>
  <c r="M1173" i="13"/>
  <c r="O1172" i="13"/>
  <c r="M1172" i="13"/>
  <c r="O1171" i="13"/>
  <c r="M1171" i="13"/>
  <c r="O1170" i="13"/>
  <c r="M1170" i="13"/>
  <c r="O1169" i="13"/>
  <c r="M1169" i="13"/>
  <c r="O1168" i="13"/>
  <c r="M1168" i="13"/>
  <c r="O1167" i="13"/>
  <c r="M1167" i="13"/>
  <c r="O1166" i="13"/>
  <c r="M1166" i="13"/>
  <c r="O1165" i="13"/>
  <c r="M1165" i="13"/>
  <c r="O1164" i="13"/>
  <c r="M1164" i="13"/>
  <c r="O1163" i="13"/>
  <c r="M1163" i="13"/>
  <c r="O1162" i="13"/>
  <c r="M1162" i="13"/>
  <c r="O1161" i="13"/>
  <c r="M1161" i="13"/>
  <c r="O1160" i="13"/>
  <c r="M1160" i="13"/>
  <c r="O1159" i="13"/>
  <c r="M1159" i="13"/>
  <c r="O1158" i="13"/>
  <c r="M1158" i="13"/>
  <c r="O1157" i="13"/>
  <c r="M1157" i="13"/>
  <c r="O1156" i="13"/>
  <c r="M1156" i="13"/>
  <c r="O1155" i="13"/>
  <c r="M1155" i="13"/>
  <c r="O1154" i="13"/>
  <c r="M1154" i="13"/>
  <c r="O1153" i="13"/>
  <c r="M1153" i="13"/>
  <c r="O1152" i="13"/>
  <c r="M1152" i="13"/>
  <c r="O1151" i="13"/>
  <c r="M1151" i="13"/>
  <c r="O1150" i="13"/>
  <c r="M1150" i="13"/>
  <c r="O1149" i="13"/>
  <c r="M1149" i="13"/>
  <c r="O1148" i="13"/>
  <c r="M1148" i="13"/>
  <c r="O1147" i="13"/>
  <c r="M1147" i="13"/>
  <c r="O1146" i="13"/>
  <c r="M1146" i="13"/>
  <c r="O1145" i="13"/>
  <c r="M1145" i="13"/>
  <c r="O1144" i="13"/>
  <c r="M1144" i="13"/>
  <c r="O1143" i="13"/>
  <c r="M1143" i="13"/>
  <c r="O1142" i="13"/>
  <c r="M1142" i="13"/>
  <c r="D1134" i="13"/>
  <c r="C1134" i="13"/>
  <c r="C1135" i="13" s="1"/>
  <c r="C1136" i="13" s="1"/>
  <c r="C1137" i="13" s="1"/>
  <c r="C1138" i="13" s="1"/>
  <c r="C1139" i="13" s="1"/>
  <c r="C1140" i="13" s="1"/>
  <c r="C1141" i="13" s="1"/>
  <c r="C1142" i="13" s="1"/>
  <c r="C1143" i="13" s="1"/>
  <c r="C1144" i="13" s="1"/>
  <c r="C1145" i="13" s="1"/>
  <c r="C1146" i="13" s="1"/>
  <c r="C1147" i="13" s="1"/>
  <c r="C1148" i="13" s="1"/>
  <c r="C1149" i="13" s="1"/>
  <c r="C1150" i="13" s="1"/>
  <c r="C1151" i="13" s="1"/>
  <c r="C1152" i="13" s="1"/>
  <c r="C1153" i="13" s="1"/>
  <c r="C1154" i="13" s="1"/>
  <c r="C1155" i="13" s="1"/>
  <c r="C1156" i="13" s="1"/>
  <c r="C1157" i="13" s="1"/>
  <c r="C1158" i="13" s="1"/>
  <c r="C1159" i="13" s="1"/>
  <c r="C1160" i="13" s="1"/>
  <c r="C1161" i="13" s="1"/>
  <c r="C1162" i="13" s="1"/>
  <c r="C1163" i="13" s="1"/>
  <c r="L1129" i="13"/>
  <c r="L1121" i="13"/>
  <c r="P1115" i="13"/>
  <c r="O1115" i="13"/>
  <c r="O1107" i="13"/>
  <c r="M1107" i="13"/>
  <c r="O1106" i="13"/>
  <c r="M1106" i="13"/>
  <c r="O1105" i="13"/>
  <c r="M1105" i="13"/>
  <c r="O1104" i="13"/>
  <c r="M1104" i="13"/>
  <c r="O1103" i="13"/>
  <c r="M1103" i="13"/>
  <c r="O1102" i="13"/>
  <c r="M1102" i="13"/>
  <c r="O1101" i="13"/>
  <c r="M1101" i="13"/>
  <c r="O1100" i="13"/>
  <c r="M1100" i="13"/>
  <c r="O1099" i="13"/>
  <c r="M1099" i="13"/>
  <c r="O1098" i="13"/>
  <c r="M1098" i="13"/>
  <c r="O1097" i="13"/>
  <c r="M1097" i="13"/>
  <c r="O1096" i="13"/>
  <c r="M1096" i="13"/>
  <c r="O1095" i="13"/>
  <c r="M1095" i="13"/>
  <c r="O1094" i="13"/>
  <c r="M1094" i="13"/>
  <c r="O1093" i="13"/>
  <c r="M1093" i="13"/>
  <c r="O1092" i="13"/>
  <c r="M1092" i="13"/>
  <c r="O1091" i="13"/>
  <c r="M1091" i="13"/>
  <c r="O1090" i="13"/>
  <c r="M1090" i="13"/>
  <c r="O1089" i="13"/>
  <c r="M1089" i="13"/>
  <c r="O1088" i="13"/>
  <c r="M1088" i="13"/>
  <c r="O1087" i="13"/>
  <c r="M1087" i="13"/>
  <c r="O1086" i="13"/>
  <c r="M1086" i="13"/>
  <c r="O1085" i="13"/>
  <c r="M1085" i="13"/>
  <c r="O1084" i="13"/>
  <c r="M1084" i="13"/>
  <c r="O1083" i="13"/>
  <c r="M1083" i="13"/>
  <c r="O1082" i="13"/>
  <c r="M1082" i="13"/>
  <c r="O1081" i="13"/>
  <c r="M1081" i="13"/>
  <c r="O1080" i="13"/>
  <c r="M1080" i="13"/>
  <c r="O1079" i="13"/>
  <c r="M1079" i="13"/>
  <c r="O1078" i="13"/>
  <c r="M1078" i="13"/>
  <c r="O1077" i="13"/>
  <c r="M1077" i="13"/>
  <c r="O1076" i="13"/>
  <c r="M1076" i="13"/>
  <c r="O1075" i="13"/>
  <c r="M1075" i="13"/>
  <c r="O1074" i="13"/>
  <c r="M1074" i="13"/>
  <c r="O1073" i="13"/>
  <c r="M1073" i="13"/>
  <c r="O1072" i="13"/>
  <c r="M1072" i="13"/>
  <c r="O1071" i="13"/>
  <c r="M1071" i="13"/>
  <c r="O1070" i="13"/>
  <c r="M1070" i="13"/>
  <c r="O1069" i="13"/>
  <c r="M1069" i="13"/>
  <c r="O1068" i="13"/>
  <c r="M1068" i="13"/>
  <c r="O1067" i="13"/>
  <c r="M1067" i="13"/>
  <c r="O1066" i="13"/>
  <c r="M1066" i="13"/>
  <c r="O1065" i="13"/>
  <c r="M1065" i="13"/>
  <c r="O1064" i="13"/>
  <c r="M1064" i="13"/>
  <c r="O1063" i="13"/>
  <c r="M1063" i="13"/>
  <c r="O1062" i="13"/>
  <c r="M1062" i="13"/>
  <c r="O1061" i="13"/>
  <c r="M1061" i="13"/>
  <c r="O1060" i="13"/>
  <c r="M1060" i="13"/>
  <c r="O1059" i="13"/>
  <c r="M1059" i="13"/>
  <c r="O1058" i="13"/>
  <c r="M1058" i="13"/>
  <c r="O1057" i="13"/>
  <c r="M1057" i="13"/>
  <c r="D1048" i="13"/>
  <c r="C1048" i="13"/>
  <c r="C1049" i="13" s="1"/>
  <c r="C1050" i="13" s="1"/>
  <c r="C1051" i="13" s="1"/>
  <c r="C1052" i="13" s="1"/>
  <c r="C1053" i="13" s="1"/>
  <c r="C1054" i="13" s="1"/>
  <c r="C1055" i="13" s="1"/>
  <c r="C1056" i="13" s="1"/>
  <c r="C1057" i="13" s="1"/>
  <c r="C1058" i="13" s="1"/>
  <c r="C1059" i="13" s="1"/>
  <c r="C1060" i="13" s="1"/>
  <c r="C1061" i="13" s="1"/>
  <c r="C1062" i="13" s="1"/>
  <c r="C1063" i="13" s="1"/>
  <c r="C1064" i="13" s="1"/>
  <c r="C1065" i="13" s="1"/>
  <c r="C1066" i="13" s="1"/>
  <c r="C1067" i="13" s="1"/>
  <c r="C1068" i="13" s="1"/>
  <c r="C1069" i="13" s="1"/>
  <c r="C1070" i="13" s="1"/>
  <c r="C1071" i="13" s="1"/>
  <c r="C1072" i="13" s="1"/>
  <c r="C1073" i="13" s="1"/>
  <c r="C1074" i="13" s="1"/>
  <c r="C1075" i="13" s="1"/>
  <c r="C1076" i="13" s="1"/>
  <c r="C1077" i="13" s="1"/>
  <c r="L1043" i="13"/>
  <c r="L1035" i="13"/>
  <c r="P1029" i="13"/>
  <c r="O1029" i="13"/>
  <c r="O1021" i="13"/>
  <c r="M1021" i="13"/>
  <c r="O1020" i="13"/>
  <c r="M1020" i="13"/>
  <c r="O1019" i="13"/>
  <c r="M1019" i="13"/>
  <c r="O1018" i="13"/>
  <c r="M1018" i="13"/>
  <c r="O1017" i="13"/>
  <c r="M1017" i="13"/>
  <c r="O1016" i="13"/>
  <c r="M1016" i="13"/>
  <c r="O1015" i="13"/>
  <c r="M1015" i="13"/>
  <c r="O1014" i="13"/>
  <c r="M1014" i="13"/>
  <c r="O1013" i="13"/>
  <c r="M1013" i="13"/>
  <c r="O1012" i="13"/>
  <c r="M1012" i="13"/>
  <c r="O1011" i="13"/>
  <c r="M1011" i="13"/>
  <c r="O1010" i="13"/>
  <c r="M1010" i="13"/>
  <c r="O1009" i="13"/>
  <c r="M1009" i="13"/>
  <c r="O1008" i="13"/>
  <c r="M1008" i="13"/>
  <c r="O1007" i="13"/>
  <c r="M1007" i="13"/>
  <c r="O1006" i="13"/>
  <c r="M1006" i="13"/>
  <c r="O1005" i="13"/>
  <c r="M1005" i="13"/>
  <c r="O1004" i="13"/>
  <c r="M1004" i="13"/>
  <c r="O1003" i="13"/>
  <c r="M1003" i="13"/>
  <c r="O1002" i="13"/>
  <c r="M1002" i="13"/>
  <c r="O1001" i="13"/>
  <c r="M1001" i="13"/>
  <c r="O1000" i="13"/>
  <c r="M1000" i="13"/>
  <c r="O999" i="13"/>
  <c r="M999" i="13"/>
  <c r="O998" i="13"/>
  <c r="M998" i="13"/>
  <c r="O997" i="13"/>
  <c r="M997" i="13"/>
  <c r="O996" i="13"/>
  <c r="M996" i="13"/>
  <c r="O995" i="13"/>
  <c r="M995" i="13"/>
  <c r="O994" i="13"/>
  <c r="M994" i="13"/>
  <c r="O993" i="13"/>
  <c r="M993" i="13"/>
  <c r="O992" i="13"/>
  <c r="M992" i="13"/>
  <c r="O991" i="13"/>
  <c r="M991" i="13"/>
  <c r="O990" i="13"/>
  <c r="M990" i="13"/>
  <c r="O989" i="13"/>
  <c r="M989" i="13"/>
  <c r="O988" i="13"/>
  <c r="M988" i="13"/>
  <c r="O987" i="13"/>
  <c r="M987" i="13"/>
  <c r="O986" i="13"/>
  <c r="M986" i="13"/>
  <c r="O985" i="13"/>
  <c r="M985" i="13"/>
  <c r="O984" i="13"/>
  <c r="M984" i="13"/>
  <c r="O983" i="13"/>
  <c r="M983" i="13"/>
  <c r="O982" i="13"/>
  <c r="M982" i="13"/>
  <c r="O981" i="13"/>
  <c r="M981" i="13"/>
  <c r="O980" i="13"/>
  <c r="M980" i="13"/>
  <c r="O979" i="13"/>
  <c r="M979" i="13"/>
  <c r="O978" i="13"/>
  <c r="M978" i="13"/>
  <c r="O977" i="13"/>
  <c r="M977" i="13"/>
  <c r="O976" i="13"/>
  <c r="M976" i="13"/>
  <c r="O975" i="13"/>
  <c r="M975" i="13"/>
  <c r="O974" i="13"/>
  <c r="M974" i="13"/>
  <c r="D962" i="13"/>
  <c r="C962" i="13"/>
  <c r="C963" i="13" s="1"/>
  <c r="C964" i="13" s="1"/>
  <c r="C965" i="13" s="1"/>
  <c r="C966" i="13" s="1"/>
  <c r="C967" i="13" s="1"/>
  <c r="C968" i="13" s="1"/>
  <c r="C969" i="13" s="1"/>
  <c r="C970" i="13" s="1"/>
  <c r="C971" i="13" s="1"/>
  <c r="C972" i="13" s="1"/>
  <c r="C973" i="13" s="1"/>
  <c r="C974" i="13" s="1"/>
  <c r="C975" i="13" s="1"/>
  <c r="C976" i="13" s="1"/>
  <c r="C977" i="13" s="1"/>
  <c r="C978" i="13" s="1"/>
  <c r="C979" i="13" s="1"/>
  <c r="C980" i="13" s="1"/>
  <c r="C981" i="13" s="1"/>
  <c r="C982" i="13" s="1"/>
  <c r="C983" i="13" s="1"/>
  <c r="C984" i="13" s="1"/>
  <c r="C985" i="13" s="1"/>
  <c r="C986" i="13" s="1"/>
  <c r="C987" i="13" s="1"/>
  <c r="C988" i="13" s="1"/>
  <c r="C989" i="13" s="1"/>
  <c r="C990" i="13" s="1"/>
  <c r="C991" i="13" s="1"/>
  <c r="L957" i="13"/>
  <c r="L949" i="13"/>
  <c r="P943" i="13"/>
  <c r="O943" i="13"/>
  <c r="O935" i="13"/>
  <c r="M935" i="13"/>
  <c r="O934" i="13"/>
  <c r="M934" i="13"/>
  <c r="O933" i="13"/>
  <c r="M933" i="13"/>
  <c r="O932" i="13"/>
  <c r="M932" i="13"/>
  <c r="O931" i="13"/>
  <c r="M931" i="13"/>
  <c r="O930" i="13"/>
  <c r="M930" i="13"/>
  <c r="O929" i="13"/>
  <c r="M929" i="13"/>
  <c r="O928" i="13"/>
  <c r="M928" i="13"/>
  <c r="O927" i="13"/>
  <c r="M927" i="13"/>
  <c r="O926" i="13"/>
  <c r="M926" i="13"/>
  <c r="O925" i="13"/>
  <c r="M925" i="13"/>
  <c r="O924" i="13"/>
  <c r="M924" i="13"/>
  <c r="O923" i="13"/>
  <c r="M923" i="13"/>
  <c r="O922" i="13"/>
  <c r="M922" i="13"/>
  <c r="O921" i="13"/>
  <c r="M921" i="13"/>
  <c r="O920" i="13"/>
  <c r="M920" i="13"/>
  <c r="O919" i="13"/>
  <c r="M919" i="13"/>
  <c r="O918" i="13"/>
  <c r="M918" i="13"/>
  <c r="O917" i="13"/>
  <c r="M917" i="13"/>
  <c r="O916" i="13"/>
  <c r="M916" i="13"/>
  <c r="O915" i="13"/>
  <c r="M915" i="13"/>
  <c r="O914" i="13"/>
  <c r="M914" i="13"/>
  <c r="O913" i="13"/>
  <c r="M913" i="13"/>
  <c r="O912" i="13"/>
  <c r="M912" i="13"/>
  <c r="O911" i="13"/>
  <c r="M911" i="13"/>
  <c r="O910" i="13"/>
  <c r="M910" i="13"/>
  <c r="O909" i="13"/>
  <c r="M909" i="13"/>
  <c r="O908" i="13"/>
  <c r="M908" i="13"/>
  <c r="O907" i="13"/>
  <c r="M907" i="13"/>
  <c r="O906" i="13"/>
  <c r="M906" i="13"/>
  <c r="O905" i="13"/>
  <c r="M905" i="13"/>
  <c r="O904" i="13"/>
  <c r="M904" i="13"/>
  <c r="O903" i="13"/>
  <c r="M903" i="13"/>
  <c r="O902" i="13"/>
  <c r="M902" i="13"/>
  <c r="O901" i="13"/>
  <c r="M901" i="13"/>
  <c r="O900" i="13"/>
  <c r="M900" i="13"/>
  <c r="O899" i="13"/>
  <c r="M899" i="13"/>
  <c r="O898" i="13"/>
  <c r="M898" i="13"/>
  <c r="O897" i="13"/>
  <c r="M897" i="13"/>
  <c r="O896" i="13"/>
  <c r="M896" i="13"/>
  <c r="O895" i="13"/>
  <c r="M895" i="13"/>
  <c r="O894" i="13"/>
  <c r="M894" i="13"/>
  <c r="O893" i="13"/>
  <c r="M893" i="13"/>
  <c r="O892" i="13"/>
  <c r="M892" i="13"/>
  <c r="O891" i="13"/>
  <c r="M891" i="13"/>
  <c r="O890" i="13"/>
  <c r="M890" i="13"/>
  <c r="O889" i="13"/>
  <c r="M889" i="13"/>
  <c r="O888" i="13"/>
  <c r="M888" i="13"/>
  <c r="O887" i="13"/>
  <c r="M887" i="13"/>
  <c r="O886" i="13"/>
  <c r="M886" i="13"/>
  <c r="C876" i="13"/>
  <c r="C877" i="13" s="1"/>
  <c r="C878" i="13" s="1"/>
  <c r="C879" i="13" s="1"/>
  <c r="C880" i="13" s="1"/>
  <c r="C881" i="13" s="1"/>
  <c r="C882" i="13" s="1"/>
  <c r="C883" i="13" s="1"/>
  <c r="C884" i="13" s="1"/>
  <c r="C885" i="13" s="1"/>
  <c r="C886" i="13" s="1"/>
  <c r="C887" i="13" s="1"/>
  <c r="C888" i="13" s="1"/>
  <c r="C889" i="13" s="1"/>
  <c r="C890" i="13" s="1"/>
  <c r="C891" i="13" s="1"/>
  <c r="C892" i="13" s="1"/>
  <c r="C893" i="13" s="1"/>
  <c r="C894" i="13" s="1"/>
  <c r="C895" i="13" s="1"/>
  <c r="C896" i="13" s="1"/>
  <c r="C897" i="13" s="1"/>
  <c r="C898" i="13" s="1"/>
  <c r="C899" i="13" s="1"/>
  <c r="C900" i="13" s="1"/>
  <c r="C901" i="13" s="1"/>
  <c r="C902" i="13" s="1"/>
  <c r="C903" i="13" s="1"/>
  <c r="C904" i="13" s="1"/>
  <c r="C905" i="13" s="1"/>
  <c r="L871" i="13"/>
  <c r="L863" i="13"/>
  <c r="P857" i="13"/>
  <c r="O857" i="13"/>
  <c r="O849" i="13"/>
  <c r="M849" i="13"/>
  <c r="O848" i="13"/>
  <c r="M848" i="13"/>
  <c r="O847" i="13"/>
  <c r="M847" i="13"/>
  <c r="O846" i="13"/>
  <c r="M846" i="13"/>
  <c r="O845" i="13"/>
  <c r="M845" i="13"/>
  <c r="O844" i="13"/>
  <c r="M844" i="13"/>
  <c r="O843" i="13"/>
  <c r="M843" i="13"/>
  <c r="O842" i="13"/>
  <c r="M842" i="13"/>
  <c r="O841" i="13"/>
  <c r="M841" i="13"/>
  <c r="O840" i="13"/>
  <c r="M840" i="13"/>
  <c r="O839" i="13"/>
  <c r="M839" i="13"/>
  <c r="O838" i="13"/>
  <c r="M838" i="13"/>
  <c r="O837" i="13"/>
  <c r="M837" i="13"/>
  <c r="O836" i="13"/>
  <c r="M836" i="13"/>
  <c r="O835" i="13"/>
  <c r="M835" i="13"/>
  <c r="O834" i="13"/>
  <c r="M834" i="13"/>
  <c r="O833" i="13"/>
  <c r="M833" i="13"/>
  <c r="O832" i="13"/>
  <c r="M832" i="13"/>
  <c r="O831" i="13"/>
  <c r="M831" i="13"/>
  <c r="O830" i="13"/>
  <c r="M830" i="13"/>
  <c r="O829" i="13"/>
  <c r="M829" i="13"/>
  <c r="O828" i="13"/>
  <c r="M828" i="13"/>
  <c r="O827" i="13"/>
  <c r="M827" i="13"/>
  <c r="O826" i="13"/>
  <c r="M826" i="13"/>
  <c r="O825" i="13"/>
  <c r="M825" i="13"/>
  <c r="O824" i="13"/>
  <c r="M824" i="13"/>
  <c r="O823" i="13"/>
  <c r="M823" i="13"/>
  <c r="O822" i="13"/>
  <c r="M822" i="13"/>
  <c r="O821" i="13"/>
  <c r="M821" i="13"/>
  <c r="O820" i="13"/>
  <c r="M820" i="13"/>
  <c r="O819" i="13"/>
  <c r="M819" i="13"/>
  <c r="O818" i="13"/>
  <c r="M818" i="13"/>
  <c r="O817" i="13"/>
  <c r="M817" i="13"/>
  <c r="O816" i="13"/>
  <c r="M816" i="13"/>
  <c r="O815" i="13"/>
  <c r="M815" i="13"/>
  <c r="O814" i="13"/>
  <c r="M814" i="13"/>
  <c r="O813" i="13"/>
  <c r="M813" i="13"/>
  <c r="O812" i="13"/>
  <c r="M812" i="13"/>
  <c r="O811" i="13"/>
  <c r="M811" i="13"/>
  <c r="O810" i="13"/>
  <c r="M810" i="13"/>
  <c r="O809" i="13"/>
  <c r="M809" i="13"/>
  <c r="O808" i="13"/>
  <c r="M808" i="13"/>
  <c r="O807" i="13"/>
  <c r="M807" i="13"/>
  <c r="O806" i="13"/>
  <c r="M806" i="13"/>
  <c r="O805" i="13"/>
  <c r="M805" i="13"/>
  <c r="O804" i="13"/>
  <c r="M804" i="13"/>
  <c r="O803" i="13"/>
  <c r="M803" i="13"/>
  <c r="O802" i="13"/>
  <c r="M802" i="13"/>
  <c r="C790" i="13"/>
  <c r="C791" i="13" s="1"/>
  <c r="C792" i="13" s="1"/>
  <c r="C793" i="13" s="1"/>
  <c r="C794" i="13" s="1"/>
  <c r="C795" i="13" s="1"/>
  <c r="C796" i="13" s="1"/>
  <c r="C797" i="13" s="1"/>
  <c r="C798" i="13" s="1"/>
  <c r="C799" i="13" s="1"/>
  <c r="C800" i="13" s="1"/>
  <c r="C801" i="13" s="1"/>
  <c r="C802" i="13" s="1"/>
  <c r="C803" i="13" s="1"/>
  <c r="C804" i="13" s="1"/>
  <c r="C805" i="13" s="1"/>
  <c r="C806" i="13" s="1"/>
  <c r="C807" i="13" s="1"/>
  <c r="C808" i="13" s="1"/>
  <c r="C809" i="13" s="1"/>
  <c r="C810" i="13" s="1"/>
  <c r="C811" i="13" s="1"/>
  <c r="C812" i="13" s="1"/>
  <c r="C813" i="13" s="1"/>
  <c r="C814" i="13" s="1"/>
  <c r="C815" i="13" s="1"/>
  <c r="C816" i="13" s="1"/>
  <c r="C817" i="13" s="1"/>
  <c r="C818" i="13" s="1"/>
  <c r="C819" i="13" s="1"/>
  <c r="L785" i="13"/>
  <c r="L777" i="13"/>
  <c r="P771" i="13"/>
  <c r="O771" i="13"/>
  <c r="O763" i="13"/>
  <c r="M763" i="13"/>
  <c r="O762" i="13"/>
  <c r="M762" i="13"/>
  <c r="O761" i="13"/>
  <c r="M761" i="13"/>
  <c r="O760" i="13"/>
  <c r="M760" i="13"/>
  <c r="O759" i="13"/>
  <c r="M759" i="13"/>
  <c r="O758" i="13"/>
  <c r="M758" i="13"/>
  <c r="O757" i="13"/>
  <c r="M757" i="13"/>
  <c r="O756" i="13"/>
  <c r="M756" i="13"/>
  <c r="O755" i="13"/>
  <c r="M755" i="13"/>
  <c r="O754" i="13"/>
  <c r="M754" i="13"/>
  <c r="O753" i="13"/>
  <c r="M753" i="13"/>
  <c r="O752" i="13"/>
  <c r="M752" i="13"/>
  <c r="O751" i="13"/>
  <c r="M751" i="13"/>
  <c r="O750" i="13"/>
  <c r="M750" i="13"/>
  <c r="O749" i="13"/>
  <c r="M749" i="13"/>
  <c r="O748" i="13"/>
  <c r="M748" i="13"/>
  <c r="O747" i="13"/>
  <c r="M747" i="13"/>
  <c r="O746" i="13"/>
  <c r="M746" i="13"/>
  <c r="O745" i="13"/>
  <c r="M745" i="13"/>
  <c r="O744" i="13"/>
  <c r="M744" i="13"/>
  <c r="O743" i="13"/>
  <c r="M743" i="13"/>
  <c r="O742" i="13"/>
  <c r="M742" i="13"/>
  <c r="O741" i="13"/>
  <c r="M741" i="13"/>
  <c r="O740" i="13"/>
  <c r="M740" i="13"/>
  <c r="O739" i="13"/>
  <c r="M739" i="13"/>
  <c r="O738" i="13"/>
  <c r="M738" i="13"/>
  <c r="O737" i="13"/>
  <c r="M737" i="13"/>
  <c r="O736" i="13"/>
  <c r="M736" i="13"/>
  <c r="O735" i="13"/>
  <c r="M735" i="13"/>
  <c r="O734" i="13"/>
  <c r="M734" i="13"/>
  <c r="O733" i="13"/>
  <c r="M733" i="13"/>
  <c r="O732" i="13"/>
  <c r="M732" i="13"/>
  <c r="O731" i="13"/>
  <c r="M731" i="13"/>
  <c r="O730" i="13"/>
  <c r="M730" i="13"/>
  <c r="O729" i="13"/>
  <c r="M729" i="13"/>
  <c r="O728" i="13"/>
  <c r="M728" i="13"/>
  <c r="O727" i="13"/>
  <c r="M727" i="13"/>
  <c r="O726" i="13"/>
  <c r="M726" i="13"/>
  <c r="O725" i="13"/>
  <c r="M725" i="13"/>
  <c r="O724" i="13"/>
  <c r="M724" i="13"/>
  <c r="O723" i="13"/>
  <c r="M723" i="13"/>
  <c r="O722" i="13"/>
  <c r="M722" i="13"/>
  <c r="O721" i="13"/>
  <c r="M721" i="13"/>
  <c r="O720" i="13"/>
  <c r="M720" i="13"/>
  <c r="O719" i="13"/>
  <c r="M719" i="13"/>
  <c r="O718" i="13"/>
  <c r="M718" i="13"/>
  <c r="O717" i="13"/>
  <c r="M717" i="13"/>
  <c r="O716" i="13"/>
  <c r="M716" i="13"/>
  <c r="O715" i="13"/>
  <c r="M715" i="13"/>
  <c r="D704" i="13"/>
  <c r="C704" i="13"/>
  <c r="C705" i="13" s="1"/>
  <c r="C706" i="13" s="1"/>
  <c r="C707" i="13" s="1"/>
  <c r="C708" i="13" s="1"/>
  <c r="C709" i="13" s="1"/>
  <c r="C710" i="13" s="1"/>
  <c r="C711" i="13" s="1"/>
  <c r="C712" i="13" s="1"/>
  <c r="C713" i="13" s="1"/>
  <c r="C714" i="13" s="1"/>
  <c r="C715" i="13" s="1"/>
  <c r="C716" i="13" s="1"/>
  <c r="C717" i="13" s="1"/>
  <c r="C718" i="13" s="1"/>
  <c r="C719" i="13" s="1"/>
  <c r="C720" i="13" s="1"/>
  <c r="C721" i="13" s="1"/>
  <c r="C722" i="13" s="1"/>
  <c r="C723" i="13" s="1"/>
  <c r="C724" i="13" s="1"/>
  <c r="C725" i="13" s="1"/>
  <c r="C726" i="13" s="1"/>
  <c r="C727" i="13" s="1"/>
  <c r="C728" i="13" s="1"/>
  <c r="C729" i="13" s="1"/>
  <c r="C730" i="13" s="1"/>
  <c r="C731" i="13" s="1"/>
  <c r="C732" i="13" s="1"/>
  <c r="C733" i="13" s="1"/>
  <c r="L699" i="13"/>
  <c r="L691" i="13"/>
  <c r="P685" i="13"/>
  <c r="O685" i="13"/>
  <c r="O677" i="13"/>
  <c r="M677" i="13"/>
  <c r="O676" i="13"/>
  <c r="M676" i="13"/>
  <c r="O675" i="13"/>
  <c r="M675" i="13"/>
  <c r="O674" i="13"/>
  <c r="M674" i="13"/>
  <c r="O673" i="13"/>
  <c r="M673" i="13"/>
  <c r="O672" i="13"/>
  <c r="M672" i="13"/>
  <c r="O671" i="13"/>
  <c r="M671" i="13"/>
  <c r="O670" i="13"/>
  <c r="M670" i="13"/>
  <c r="O669" i="13"/>
  <c r="M669" i="13"/>
  <c r="O668" i="13"/>
  <c r="M668" i="13"/>
  <c r="O667" i="13"/>
  <c r="M667" i="13"/>
  <c r="O666" i="13"/>
  <c r="M666" i="13"/>
  <c r="O665" i="13"/>
  <c r="M665" i="13"/>
  <c r="O664" i="13"/>
  <c r="M664" i="13"/>
  <c r="O663" i="13"/>
  <c r="M663" i="13"/>
  <c r="O662" i="13"/>
  <c r="M662" i="13"/>
  <c r="O661" i="13"/>
  <c r="M661" i="13"/>
  <c r="O660" i="13"/>
  <c r="M660" i="13"/>
  <c r="O659" i="13"/>
  <c r="M659" i="13"/>
  <c r="O658" i="13"/>
  <c r="M658" i="13"/>
  <c r="O657" i="13"/>
  <c r="M657" i="13"/>
  <c r="O656" i="13"/>
  <c r="M656" i="13"/>
  <c r="O655" i="13"/>
  <c r="M655" i="13"/>
  <c r="O654" i="13"/>
  <c r="M654" i="13"/>
  <c r="O653" i="13"/>
  <c r="M653" i="13"/>
  <c r="O652" i="13"/>
  <c r="M652" i="13"/>
  <c r="O651" i="13"/>
  <c r="M651" i="13"/>
  <c r="O650" i="13"/>
  <c r="M650" i="13"/>
  <c r="O649" i="13"/>
  <c r="M649" i="13"/>
  <c r="O648" i="13"/>
  <c r="M648" i="13"/>
  <c r="O647" i="13"/>
  <c r="M647" i="13"/>
  <c r="O646" i="13"/>
  <c r="M646" i="13"/>
  <c r="O645" i="13"/>
  <c r="M645" i="13"/>
  <c r="O644" i="13"/>
  <c r="M644" i="13"/>
  <c r="O643" i="13"/>
  <c r="M643" i="13"/>
  <c r="O642" i="13"/>
  <c r="M642" i="13"/>
  <c r="O641" i="13"/>
  <c r="M641" i="13"/>
  <c r="O640" i="13"/>
  <c r="M640" i="13"/>
  <c r="O639" i="13"/>
  <c r="M639" i="13"/>
  <c r="O638" i="13"/>
  <c r="M638" i="13"/>
  <c r="O637" i="13"/>
  <c r="M637" i="13"/>
  <c r="O636" i="13"/>
  <c r="M636" i="13"/>
  <c r="O635" i="13"/>
  <c r="M635" i="13"/>
  <c r="O634" i="13"/>
  <c r="M634" i="13"/>
  <c r="O633" i="13"/>
  <c r="M633" i="13"/>
  <c r="O632" i="13"/>
  <c r="M632" i="13"/>
  <c r="O631" i="13"/>
  <c r="M631" i="13"/>
  <c r="O630" i="13"/>
  <c r="M630" i="13"/>
  <c r="O629" i="13"/>
  <c r="M629" i="13"/>
  <c r="O628" i="13"/>
  <c r="M628" i="13"/>
  <c r="D618" i="13"/>
  <c r="C618" i="13"/>
  <c r="C619" i="13" s="1"/>
  <c r="C620" i="13" s="1"/>
  <c r="C621" i="13" s="1"/>
  <c r="C622" i="13" s="1"/>
  <c r="C623" i="13" s="1"/>
  <c r="C624" i="13" s="1"/>
  <c r="C625" i="13" s="1"/>
  <c r="C626" i="13" s="1"/>
  <c r="C627" i="13" s="1"/>
  <c r="C628" i="13" s="1"/>
  <c r="C629" i="13" s="1"/>
  <c r="C630" i="13" s="1"/>
  <c r="C631" i="13" s="1"/>
  <c r="C632" i="13" s="1"/>
  <c r="C633" i="13" s="1"/>
  <c r="C634" i="13" s="1"/>
  <c r="C635" i="13" s="1"/>
  <c r="C636" i="13" s="1"/>
  <c r="C637" i="13" s="1"/>
  <c r="C638" i="13" s="1"/>
  <c r="C639" i="13" s="1"/>
  <c r="C640" i="13" s="1"/>
  <c r="C641" i="13" s="1"/>
  <c r="C642" i="13" s="1"/>
  <c r="C643" i="13" s="1"/>
  <c r="C644" i="13" s="1"/>
  <c r="C645" i="13" s="1"/>
  <c r="C646" i="13" s="1"/>
  <c r="C647" i="13" s="1"/>
  <c r="L613" i="13"/>
  <c r="L605" i="13"/>
  <c r="P599" i="13"/>
  <c r="O599" i="13"/>
  <c r="O591" i="13"/>
  <c r="M591" i="13"/>
  <c r="O590" i="13"/>
  <c r="M590" i="13"/>
  <c r="O589" i="13"/>
  <c r="M589" i="13"/>
  <c r="O588" i="13"/>
  <c r="M588" i="13"/>
  <c r="O587" i="13"/>
  <c r="M587" i="13"/>
  <c r="O586" i="13"/>
  <c r="M586" i="13"/>
  <c r="O585" i="13"/>
  <c r="M585" i="13"/>
  <c r="O584" i="13"/>
  <c r="M584" i="13"/>
  <c r="O583" i="13"/>
  <c r="M583" i="13"/>
  <c r="O582" i="13"/>
  <c r="M582" i="13"/>
  <c r="O581" i="13"/>
  <c r="M581" i="13"/>
  <c r="O580" i="13"/>
  <c r="M580" i="13"/>
  <c r="O579" i="13"/>
  <c r="M579" i="13"/>
  <c r="O578" i="13"/>
  <c r="M578" i="13"/>
  <c r="O577" i="13"/>
  <c r="M577" i="13"/>
  <c r="O576" i="13"/>
  <c r="M576" i="13"/>
  <c r="O575" i="13"/>
  <c r="M575" i="13"/>
  <c r="O574" i="13"/>
  <c r="M574" i="13"/>
  <c r="O573" i="13"/>
  <c r="M573" i="13"/>
  <c r="O572" i="13"/>
  <c r="M572" i="13"/>
  <c r="O571" i="13"/>
  <c r="M571" i="13"/>
  <c r="O570" i="13"/>
  <c r="M570" i="13"/>
  <c r="O569" i="13"/>
  <c r="M569" i="13"/>
  <c r="O568" i="13"/>
  <c r="M568" i="13"/>
  <c r="O567" i="13"/>
  <c r="M567" i="13"/>
  <c r="O566" i="13"/>
  <c r="M566" i="13"/>
  <c r="O565" i="13"/>
  <c r="M565" i="13"/>
  <c r="O564" i="13"/>
  <c r="M564" i="13"/>
  <c r="O563" i="13"/>
  <c r="M563" i="13"/>
  <c r="O562" i="13"/>
  <c r="M562" i="13"/>
  <c r="O561" i="13"/>
  <c r="M561" i="13"/>
  <c r="O560" i="13"/>
  <c r="M560" i="13"/>
  <c r="O559" i="13"/>
  <c r="M559" i="13"/>
  <c r="O558" i="13"/>
  <c r="M558" i="13"/>
  <c r="O557" i="13"/>
  <c r="M557" i="13"/>
  <c r="O556" i="13"/>
  <c r="M556" i="13"/>
  <c r="O555" i="13"/>
  <c r="M555" i="13"/>
  <c r="O554" i="13"/>
  <c r="M554" i="13"/>
  <c r="O553" i="13"/>
  <c r="M553" i="13"/>
  <c r="O552" i="13"/>
  <c r="M552" i="13"/>
  <c r="O551" i="13"/>
  <c r="M551" i="13"/>
  <c r="O550" i="13"/>
  <c r="M550" i="13"/>
  <c r="O549" i="13"/>
  <c r="M549" i="13"/>
  <c r="O548" i="13"/>
  <c r="M548" i="13"/>
  <c r="O547" i="13"/>
  <c r="M547" i="13"/>
  <c r="O546" i="13"/>
  <c r="M546" i="13"/>
  <c r="O545" i="13"/>
  <c r="M545" i="13"/>
  <c r="O544" i="13"/>
  <c r="M544" i="13"/>
  <c r="O543" i="13"/>
  <c r="M543" i="13"/>
  <c r="O542" i="13"/>
  <c r="M542" i="13"/>
  <c r="D532" i="13"/>
  <c r="C532" i="13"/>
  <c r="C533" i="13" s="1"/>
  <c r="C534" i="13" s="1"/>
  <c r="C535" i="13" s="1"/>
  <c r="C536" i="13" s="1"/>
  <c r="C537" i="13" s="1"/>
  <c r="C538" i="13" s="1"/>
  <c r="C539" i="13" s="1"/>
  <c r="C540" i="13" s="1"/>
  <c r="C541" i="13" s="1"/>
  <c r="C542" i="13" s="1"/>
  <c r="C543" i="13" s="1"/>
  <c r="C544" i="13" s="1"/>
  <c r="C545" i="13" s="1"/>
  <c r="C546" i="13" s="1"/>
  <c r="C547" i="13" s="1"/>
  <c r="C548" i="13" s="1"/>
  <c r="C549" i="13" s="1"/>
  <c r="C550" i="13" s="1"/>
  <c r="C551" i="13" s="1"/>
  <c r="C552" i="13" s="1"/>
  <c r="C553" i="13" s="1"/>
  <c r="C554" i="13" s="1"/>
  <c r="C555" i="13" s="1"/>
  <c r="C556" i="13" s="1"/>
  <c r="C557" i="13" s="1"/>
  <c r="C558" i="13" s="1"/>
  <c r="C559" i="13" s="1"/>
  <c r="C560" i="13" s="1"/>
  <c r="C561" i="13" s="1"/>
  <c r="N520" i="13" s="1"/>
  <c r="L527" i="13"/>
  <c r="L519" i="13"/>
  <c r="P513" i="13"/>
  <c r="O513" i="13"/>
  <c r="O505" i="13"/>
  <c r="M505" i="13"/>
  <c r="O504" i="13"/>
  <c r="M504" i="13"/>
  <c r="O503" i="13"/>
  <c r="M503" i="13"/>
  <c r="O502" i="13"/>
  <c r="M502" i="13"/>
  <c r="O501" i="13"/>
  <c r="M501" i="13"/>
  <c r="O500" i="13"/>
  <c r="M500" i="13"/>
  <c r="O499" i="13"/>
  <c r="M499" i="13"/>
  <c r="O498" i="13"/>
  <c r="M498" i="13"/>
  <c r="O497" i="13"/>
  <c r="M497" i="13"/>
  <c r="O496" i="13"/>
  <c r="M496" i="13"/>
  <c r="O495" i="13"/>
  <c r="M495" i="13"/>
  <c r="O494" i="13"/>
  <c r="M494" i="13"/>
  <c r="O493" i="13"/>
  <c r="M493" i="13"/>
  <c r="O492" i="13"/>
  <c r="M492" i="13"/>
  <c r="O491" i="13"/>
  <c r="M491" i="13"/>
  <c r="O490" i="13"/>
  <c r="M490" i="13"/>
  <c r="O489" i="13"/>
  <c r="M489" i="13"/>
  <c r="O488" i="13"/>
  <c r="M488" i="13"/>
  <c r="O487" i="13"/>
  <c r="M487" i="13"/>
  <c r="O486" i="13"/>
  <c r="M486" i="13"/>
  <c r="O485" i="13"/>
  <c r="M485" i="13"/>
  <c r="O484" i="13"/>
  <c r="M484" i="13"/>
  <c r="O483" i="13"/>
  <c r="M483" i="13"/>
  <c r="O482" i="13"/>
  <c r="M482" i="13"/>
  <c r="O481" i="13"/>
  <c r="M481" i="13"/>
  <c r="O480" i="13"/>
  <c r="M480" i="13"/>
  <c r="O479" i="13"/>
  <c r="M479" i="13"/>
  <c r="O478" i="13"/>
  <c r="M478" i="13"/>
  <c r="O477" i="13"/>
  <c r="M477" i="13"/>
  <c r="O476" i="13"/>
  <c r="M476" i="13"/>
  <c r="O475" i="13"/>
  <c r="M475" i="13"/>
  <c r="O474" i="13"/>
  <c r="M474" i="13"/>
  <c r="O473" i="13"/>
  <c r="M473" i="13"/>
  <c r="O472" i="13"/>
  <c r="M472" i="13"/>
  <c r="O471" i="13"/>
  <c r="M471" i="13"/>
  <c r="O470" i="13"/>
  <c r="M470" i="13"/>
  <c r="O469" i="13"/>
  <c r="M469" i="13"/>
  <c r="O468" i="13"/>
  <c r="M468" i="13"/>
  <c r="O467" i="13"/>
  <c r="M467" i="13"/>
  <c r="O466" i="13"/>
  <c r="M466" i="13"/>
  <c r="O465" i="13"/>
  <c r="M465" i="13"/>
  <c r="O464" i="13"/>
  <c r="M464" i="13"/>
  <c r="O463" i="13"/>
  <c r="M463" i="13"/>
  <c r="O462" i="13"/>
  <c r="M462" i="13"/>
  <c r="O461" i="13"/>
  <c r="M461" i="13"/>
  <c r="O460" i="13"/>
  <c r="M460" i="13"/>
  <c r="O459" i="13"/>
  <c r="M459" i="13"/>
  <c r="O458" i="13"/>
  <c r="M458" i="13"/>
  <c r="O457" i="13"/>
  <c r="M457" i="13"/>
  <c r="D446" i="13"/>
  <c r="C446" i="13"/>
  <c r="C447" i="13" s="1"/>
  <c r="C448" i="13" s="1"/>
  <c r="C449" i="13" s="1"/>
  <c r="C450" i="13" s="1"/>
  <c r="C451" i="13" s="1"/>
  <c r="C452" i="13" s="1"/>
  <c r="C453" i="13" s="1"/>
  <c r="C454" i="13" s="1"/>
  <c r="C455" i="13" s="1"/>
  <c r="C456" i="13" s="1"/>
  <c r="C457" i="13" s="1"/>
  <c r="C458" i="13" s="1"/>
  <c r="C459" i="13" s="1"/>
  <c r="C460" i="13" s="1"/>
  <c r="C461" i="13" s="1"/>
  <c r="C462" i="13" s="1"/>
  <c r="C463" i="13" s="1"/>
  <c r="C464" i="13" s="1"/>
  <c r="C465" i="13" s="1"/>
  <c r="C466" i="13" s="1"/>
  <c r="C467" i="13" s="1"/>
  <c r="C468" i="13" s="1"/>
  <c r="C469" i="13" s="1"/>
  <c r="C470" i="13" s="1"/>
  <c r="C471" i="13" s="1"/>
  <c r="C472" i="13" s="1"/>
  <c r="C473" i="13" s="1"/>
  <c r="C474" i="13" s="1"/>
  <c r="C475" i="13" s="1"/>
  <c r="L441" i="13"/>
  <c r="L433" i="13"/>
  <c r="P427" i="13"/>
  <c r="O427" i="13"/>
  <c r="O419" i="13"/>
  <c r="M419" i="13"/>
  <c r="O418" i="13"/>
  <c r="M418" i="13"/>
  <c r="O417" i="13"/>
  <c r="M417" i="13"/>
  <c r="O416" i="13"/>
  <c r="M416" i="13"/>
  <c r="O415" i="13"/>
  <c r="M415" i="13"/>
  <c r="O414" i="13"/>
  <c r="M414" i="13"/>
  <c r="O413" i="13"/>
  <c r="M413" i="13"/>
  <c r="O412" i="13"/>
  <c r="M412" i="13"/>
  <c r="O411" i="13"/>
  <c r="M411" i="13"/>
  <c r="O410" i="13"/>
  <c r="M410" i="13"/>
  <c r="O409" i="13"/>
  <c r="M409" i="13"/>
  <c r="O408" i="13"/>
  <c r="M408" i="13"/>
  <c r="O407" i="13"/>
  <c r="M407" i="13"/>
  <c r="O406" i="13"/>
  <c r="M406" i="13"/>
  <c r="O405" i="13"/>
  <c r="M405" i="13"/>
  <c r="O404" i="13"/>
  <c r="M404" i="13"/>
  <c r="O403" i="13"/>
  <c r="M403" i="13"/>
  <c r="O402" i="13"/>
  <c r="M402" i="13"/>
  <c r="O401" i="13"/>
  <c r="M401" i="13"/>
  <c r="O400" i="13"/>
  <c r="M400" i="13"/>
  <c r="O399" i="13"/>
  <c r="M399" i="13"/>
  <c r="O398" i="13"/>
  <c r="M398" i="13"/>
  <c r="O397" i="13"/>
  <c r="M397" i="13"/>
  <c r="O396" i="13"/>
  <c r="M396" i="13"/>
  <c r="O395" i="13"/>
  <c r="M395" i="13"/>
  <c r="O394" i="13"/>
  <c r="M394" i="13"/>
  <c r="O393" i="13"/>
  <c r="M393" i="13"/>
  <c r="O392" i="13"/>
  <c r="M392" i="13"/>
  <c r="O391" i="13"/>
  <c r="M391" i="13"/>
  <c r="O390" i="13"/>
  <c r="M390" i="13"/>
  <c r="O389" i="13"/>
  <c r="M389" i="13"/>
  <c r="O388" i="13"/>
  <c r="M388" i="13"/>
  <c r="O387" i="13"/>
  <c r="M387" i="13"/>
  <c r="O386" i="13"/>
  <c r="M386" i="13"/>
  <c r="O385" i="13"/>
  <c r="M385" i="13"/>
  <c r="O384" i="13"/>
  <c r="M384" i="13"/>
  <c r="O383" i="13"/>
  <c r="M383" i="13"/>
  <c r="O382" i="13"/>
  <c r="M382" i="13"/>
  <c r="O381" i="13"/>
  <c r="M381" i="13"/>
  <c r="O380" i="13"/>
  <c r="M380" i="13"/>
  <c r="O379" i="13"/>
  <c r="M379" i="13"/>
  <c r="O378" i="13"/>
  <c r="M378" i="13"/>
  <c r="O377" i="13"/>
  <c r="M377" i="13"/>
  <c r="O376" i="13"/>
  <c r="M376" i="13"/>
  <c r="O375" i="13"/>
  <c r="M375" i="13"/>
  <c r="O374" i="13"/>
  <c r="M374" i="13"/>
  <c r="O373" i="13"/>
  <c r="M373" i="13"/>
  <c r="O372" i="13"/>
  <c r="M372" i="13"/>
  <c r="D360" i="13"/>
  <c r="C360" i="13"/>
  <c r="C361" i="13" s="1"/>
  <c r="C362" i="13" s="1"/>
  <c r="C363" i="13" s="1"/>
  <c r="C364" i="13" s="1"/>
  <c r="C365" i="13" s="1"/>
  <c r="C366" i="13" s="1"/>
  <c r="C367" i="13" s="1"/>
  <c r="C368" i="13" s="1"/>
  <c r="C369" i="13" s="1"/>
  <c r="C370" i="13" s="1"/>
  <c r="C371" i="13" s="1"/>
  <c r="C372" i="13" s="1"/>
  <c r="C373" i="13" s="1"/>
  <c r="C374" i="13" s="1"/>
  <c r="C375" i="13" s="1"/>
  <c r="C376" i="13" s="1"/>
  <c r="C377" i="13" s="1"/>
  <c r="C378" i="13" s="1"/>
  <c r="C379" i="13" s="1"/>
  <c r="C380" i="13" s="1"/>
  <c r="C381" i="13" s="1"/>
  <c r="C382" i="13" s="1"/>
  <c r="C383" i="13" s="1"/>
  <c r="C384" i="13" s="1"/>
  <c r="C385" i="13" s="1"/>
  <c r="C386" i="13" s="1"/>
  <c r="C387" i="13" s="1"/>
  <c r="C388" i="13" s="1"/>
  <c r="C389" i="13" s="1"/>
  <c r="L355" i="13"/>
  <c r="L347" i="13"/>
  <c r="P341" i="13"/>
  <c r="O341" i="13"/>
  <c r="O333" i="13"/>
  <c r="M333" i="13"/>
  <c r="O332" i="13"/>
  <c r="M332" i="13"/>
  <c r="O331" i="13"/>
  <c r="M331" i="13"/>
  <c r="O330" i="13"/>
  <c r="M330" i="13"/>
  <c r="O329" i="13"/>
  <c r="M329" i="13"/>
  <c r="O328" i="13"/>
  <c r="M328" i="13"/>
  <c r="O327" i="13"/>
  <c r="M327" i="13"/>
  <c r="O326" i="13"/>
  <c r="M326" i="13"/>
  <c r="O325" i="13"/>
  <c r="M325" i="13"/>
  <c r="O324" i="13"/>
  <c r="M324" i="13"/>
  <c r="O323" i="13"/>
  <c r="M323" i="13"/>
  <c r="O322" i="13"/>
  <c r="M322" i="13"/>
  <c r="O321" i="13"/>
  <c r="M321" i="13"/>
  <c r="O320" i="13"/>
  <c r="M320" i="13"/>
  <c r="O319" i="13"/>
  <c r="M319" i="13"/>
  <c r="O318" i="13"/>
  <c r="M318" i="13"/>
  <c r="O317" i="13"/>
  <c r="M317" i="13"/>
  <c r="O316" i="13"/>
  <c r="M316" i="13"/>
  <c r="O315" i="13"/>
  <c r="M315" i="13"/>
  <c r="O314" i="13"/>
  <c r="M314" i="13"/>
  <c r="O313" i="13"/>
  <c r="M313" i="13"/>
  <c r="O312" i="13"/>
  <c r="M312" i="13"/>
  <c r="O311" i="13"/>
  <c r="M311" i="13"/>
  <c r="O310" i="13"/>
  <c r="M310" i="13"/>
  <c r="O309" i="13"/>
  <c r="M309" i="13"/>
  <c r="O308" i="13"/>
  <c r="M308" i="13"/>
  <c r="O307" i="13"/>
  <c r="M307" i="13"/>
  <c r="O306" i="13"/>
  <c r="M306" i="13"/>
  <c r="O305" i="13"/>
  <c r="M305" i="13"/>
  <c r="O304" i="13"/>
  <c r="M304" i="13"/>
  <c r="O303" i="13"/>
  <c r="M303" i="13"/>
  <c r="O302" i="13"/>
  <c r="M302" i="13"/>
  <c r="O301" i="13"/>
  <c r="M301" i="13"/>
  <c r="O300" i="13"/>
  <c r="M300" i="13"/>
  <c r="O299" i="13"/>
  <c r="M299" i="13"/>
  <c r="O298" i="13"/>
  <c r="M298" i="13"/>
  <c r="O297" i="13"/>
  <c r="M297" i="13"/>
  <c r="O296" i="13"/>
  <c r="M296" i="13"/>
  <c r="O295" i="13"/>
  <c r="M295" i="13"/>
  <c r="O294" i="13"/>
  <c r="M294" i="13"/>
  <c r="O293" i="13"/>
  <c r="M293" i="13"/>
  <c r="O292" i="13"/>
  <c r="M292" i="13"/>
  <c r="O291" i="13"/>
  <c r="M291" i="13"/>
  <c r="O290" i="13"/>
  <c r="M290" i="13"/>
  <c r="O289" i="13"/>
  <c r="M289" i="13"/>
  <c r="O288" i="13"/>
  <c r="M288" i="13"/>
  <c r="O287" i="13"/>
  <c r="M287" i="13"/>
  <c r="O286" i="13"/>
  <c r="M286" i="13"/>
  <c r="D274" i="13"/>
  <c r="C274" i="13"/>
  <c r="C275" i="13" s="1"/>
  <c r="C276" i="13" s="1"/>
  <c r="C277" i="13" s="1"/>
  <c r="C278" i="13" s="1"/>
  <c r="C279" i="13" s="1"/>
  <c r="C280" i="13" s="1"/>
  <c r="C281" i="13" s="1"/>
  <c r="C282" i="13" s="1"/>
  <c r="C283" i="13" s="1"/>
  <c r="C284" i="13" s="1"/>
  <c r="C285" i="13" s="1"/>
  <c r="C286" i="13" s="1"/>
  <c r="C287" i="13" s="1"/>
  <c r="C288" i="13" s="1"/>
  <c r="C289" i="13" s="1"/>
  <c r="C290" i="13" s="1"/>
  <c r="C291" i="13" s="1"/>
  <c r="C292" i="13" s="1"/>
  <c r="C293" i="13" s="1"/>
  <c r="C294" i="13" s="1"/>
  <c r="C295" i="13" s="1"/>
  <c r="C296" i="13" s="1"/>
  <c r="C297" i="13" s="1"/>
  <c r="C298" i="13" s="1"/>
  <c r="C299" i="13" s="1"/>
  <c r="C300" i="13" s="1"/>
  <c r="C301" i="13" s="1"/>
  <c r="C302" i="13" s="1"/>
  <c r="C303" i="13" s="1"/>
  <c r="L269" i="13"/>
  <c r="L261" i="13"/>
  <c r="P255" i="13"/>
  <c r="O255" i="13"/>
  <c r="O247" i="13"/>
  <c r="M247" i="13"/>
  <c r="O246" i="13"/>
  <c r="M246" i="13"/>
  <c r="O245" i="13"/>
  <c r="M245" i="13"/>
  <c r="O244" i="13"/>
  <c r="M244" i="13"/>
  <c r="O243" i="13"/>
  <c r="M243" i="13"/>
  <c r="O242" i="13"/>
  <c r="M242" i="13"/>
  <c r="O241" i="13"/>
  <c r="M241" i="13"/>
  <c r="O240" i="13"/>
  <c r="M240" i="13"/>
  <c r="O239" i="13"/>
  <c r="M239" i="13"/>
  <c r="O238" i="13"/>
  <c r="M238" i="13"/>
  <c r="O237" i="13"/>
  <c r="M237" i="13"/>
  <c r="O236" i="13"/>
  <c r="M236" i="13"/>
  <c r="O235" i="13"/>
  <c r="M235" i="13"/>
  <c r="O234" i="13"/>
  <c r="M234" i="13"/>
  <c r="O233" i="13"/>
  <c r="M233" i="13"/>
  <c r="O232" i="13"/>
  <c r="M232" i="13"/>
  <c r="O231" i="13"/>
  <c r="M231" i="13"/>
  <c r="O230" i="13"/>
  <c r="M230" i="13"/>
  <c r="O229" i="13"/>
  <c r="M229" i="13"/>
  <c r="O228" i="13"/>
  <c r="M228" i="13"/>
  <c r="O227" i="13"/>
  <c r="M227" i="13"/>
  <c r="O226" i="13"/>
  <c r="M226" i="13"/>
  <c r="O225" i="13"/>
  <c r="M225" i="13"/>
  <c r="O224" i="13"/>
  <c r="M224" i="13"/>
  <c r="O223" i="13"/>
  <c r="M223" i="13"/>
  <c r="O222" i="13"/>
  <c r="M222" i="13"/>
  <c r="O221" i="13"/>
  <c r="M221" i="13"/>
  <c r="O220" i="13"/>
  <c r="M220" i="13"/>
  <c r="O219" i="13"/>
  <c r="M219" i="13"/>
  <c r="O218" i="13"/>
  <c r="M218" i="13"/>
  <c r="O217" i="13"/>
  <c r="M217" i="13"/>
  <c r="O216" i="13"/>
  <c r="M216" i="13"/>
  <c r="O215" i="13"/>
  <c r="M215" i="13"/>
  <c r="O214" i="13"/>
  <c r="M214" i="13"/>
  <c r="O213" i="13"/>
  <c r="M213" i="13"/>
  <c r="O212" i="13"/>
  <c r="M212" i="13"/>
  <c r="O211" i="13"/>
  <c r="M211" i="13"/>
  <c r="O210" i="13"/>
  <c r="M210" i="13"/>
  <c r="O209" i="13"/>
  <c r="M209" i="13"/>
  <c r="O208" i="13"/>
  <c r="M208" i="13"/>
  <c r="O207" i="13"/>
  <c r="M207" i="13"/>
  <c r="O206" i="13"/>
  <c r="M206" i="13"/>
  <c r="O205" i="13"/>
  <c r="M205" i="13"/>
  <c r="O204" i="13"/>
  <c r="M204" i="13"/>
  <c r="O203" i="13"/>
  <c r="M203" i="13"/>
  <c r="O188" i="13"/>
  <c r="M188" i="13"/>
  <c r="D188" i="13"/>
  <c r="C188" i="13"/>
  <c r="C189" i="13" s="1"/>
  <c r="C190" i="13" s="1"/>
  <c r="C191" i="13" s="1"/>
  <c r="C192" i="13" s="1"/>
  <c r="C193" i="13" s="1"/>
  <c r="C194" i="13" s="1"/>
  <c r="C195" i="13" s="1"/>
  <c r="C196" i="13" s="1"/>
  <c r="C197" i="13" s="1"/>
  <c r="C198" i="13" s="1"/>
  <c r="C199" i="13" s="1"/>
  <c r="C200" i="13" s="1"/>
  <c r="C201" i="13" s="1"/>
  <c r="C202" i="13" s="1"/>
  <c r="C203" i="13" s="1"/>
  <c r="C204" i="13" s="1"/>
  <c r="C205" i="13" s="1"/>
  <c r="C206" i="13" s="1"/>
  <c r="C207" i="13" s="1"/>
  <c r="C208" i="13" s="1"/>
  <c r="C209" i="13" s="1"/>
  <c r="C210" i="13" s="1"/>
  <c r="C211" i="13" s="1"/>
  <c r="C212" i="13" s="1"/>
  <c r="C213" i="13" s="1"/>
  <c r="C214" i="13" s="1"/>
  <c r="C215" i="13" s="1"/>
  <c r="C216" i="13" s="1"/>
  <c r="C217" i="13" s="1"/>
  <c r="L183" i="13"/>
  <c r="L175" i="13"/>
  <c r="P169" i="13"/>
  <c r="O169" i="13"/>
  <c r="D310" i="2"/>
  <c r="E18" i="5"/>
  <c r="I18" i="5" s="1"/>
  <c r="D1171" i="20"/>
  <c r="C1171" i="20"/>
  <c r="C1172" i="20" s="1"/>
  <c r="C1173" i="20" s="1"/>
  <c r="C1174" i="20" s="1"/>
  <c r="C1175" i="20" s="1"/>
  <c r="C1176" i="20" s="1"/>
  <c r="C1177" i="20" s="1"/>
  <c r="C1178" i="20" s="1"/>
  <c r="C1179" i="20" s="1"/>
  <c r="C1180" i="20" s="1"/>
  <c r="C1181" i="20" s="1"/>
  <c r="C1182" i="20" s="1"/>
  <c r="C1183" i="20" s="1"/>
  <c r="C1184" i="20" s="1"/>
  <c r="C1185" i="20" s="1"/>
  <c r="C1186" i="20" s="1"/>
  <c r="C1187" i="20" s="1"/>
  <c r="C1188" i="20" s="1"/>
  <c r="C1189" i="20" s="1"/>
  <c r="C1190" i="20" s="1"/>
  <c r="C1191" i="20" s="1"/>
  <c r="C1192" i="20" s="1"/>
  <c r="C1193" i="20" s="1"/>
  <c r="C1194" i="20" s="1"/>
  <c r="C1195" i="20" s="1"/>
  <c r="C1196" i="20" s="1"/>
  <c r="C1197" i="20" s="1"/>
  <c r="C1198" i="20" s="1"/>
  <c r="C1199" i="20" s="1"/>
  <c r="C1200" i="20" s="1"/>
  <c r="C1201" i="20" s="1"/>
  <c r="C1202" i="20" s="1"/>
  <c r="C1203" i="20" s="1"/>
  <c r="C1204" i="20" s="1"/>
  <c r="C1205" i="20" s="1"/>
  <c r="C1206" i="20" s="1"/>
  <c r="C1207" i="20" s="1"/>
  <c r="C1208" i="20" s="1"/>
  <c r="C1209" i="20" s="1"/>
  <c r="C1210" i="20" s="1"/>
  <c r="C1211" i="20" s="1"/>
  <c r="C1212" i="20" s="1"/>
  <c r="C1213" i="20" s="1"/>
  <c r="C1214" i="20" s="1"/>
  <c r="C1215" i="20" s="1"/>
  <c r="C1216" i="20" s="1"/>
  <c r="C1217" i="20" s="1"/>
  <c r="C1218" i="20" s="1"/>
  <c r="C1219" i="20" s="1"/>
  <c r="C1220" i="20" s="1"/>
  <c r="C1221" i="20" s="1"/>
  <c r="C1222" i="20" s="1"/>
  <c r="C1223" i="20" s="1"/>
  <c r="C1224" i="20" s="1"/>
  <c r="C1225" i="20" s="1"/>
  <c r="C1226" i="20" s="1"/>
  <c r="C1227" i="20" s="1"/>
  <c r="C1228" i="20" s="1"/>
  <c r="C1229" i="20" s="1"/>
  <c r="C1230" i="20" s="1"/>
  <c r="K1166" i="20"/>
  <c r="I1165" i="20"/>
  <c r="O1152" i="20"/>
  <c r="N1152" i="20"/>
  <c r="D1082" i="20"/>
  <c r="C1082" i="20"/>
  <c r="C1083" i="20" s="1"/>
  <c r="C1084" i="20" s="1"/>
  <c r="C1085" i="20" s="1"/>
  <c r="C1086" i="20" s="1"/>
  <c r="C1087" i="20" s="1"/>
  <c r="C1088" i="20" s="1"/>
  <c r="C1089" i="20" s="1"/>
  <c r="C1090" i="20" s="1"/>
  <c r="C1091" i="20" s="1"/>
  <c r="C1092" i="20" s="1"/>
  <c r="C1093" i="20" s="1"/>
  <c r="C1094" i="20" s="1"/>
  <c r="C1095" i="20" s="1"/>
  <c r="C1096" i="20" s="1"/>
  <c r="C1097" i="20" s="1"/>
  <c r="C1098" i="20" s="1"/>
  <c r="C1099" i="20" s="1"/>
  <c r="C1100" i="20" s="1"/>
  <c r="C1101" i="20" s="1"/>
  <c r="C1102" i="20" s="1"/>
  <c r="C1103" i="20" s="1"/>
  <c r="C1104" i="20" s="1"/>
  <c r="C1105" i="20" s="1"/>
  <c r="C1106" i="20" s="1"/>
  <c r="C1107" i="20" s="1"/>
  <c r="C1108" i="20" s="1"/>
  <c r="C1109" i="20" s="1"/>
  <c r="C1110" i="20" s="1"/>
  <c r="C1111" i="20" s="1"/>
  <c r="C1112" i="20" s="1"/>
  <c r="C1113" i="20" s="1"/>
  <c r="C1114" i="20" s="1"/>
  <c r="C1115" i="20" s="1"/>
  <c r="C1116" i="20" s="1"/>
  <c r="C1117" i="20" s="1"/>
  <c r="C1118" i="20" s="1"/>
  <c r="C1119" i="20" s="1"/>
  <c r="C1120" i="20" s="1"/>
  <c r="C1121" i="20" s="1"/>
  <c r="C1122" i="20" s="1"/>
  <c r="C1123" i="20" s="1"/>
  <c r="C1124" i="20" s="1"/>
  <c r="C1125" i="20" s="1"/>
  <c r="C1126" i="20" s="1"/>
  <c r="C1127" i="20" s="1"/>
  <c r="C1128" i="20" s="1"/>
  <c r="C1129" i="20" s="1"/>
  <c r="C1130" i="20" s="1"/>
  <c r="C1131" i="20" s="1"/>
  <c r="C1132" i="20" s="1"/>
  <c r="C1133" i="20" s="1"/>
  <c r="C1134" i="20" s="1"/>
  <c r="C1135" i="20" s="1"/>
  <c r="C1136" i="20" s="1"/>
  <c r="C1137" i="20" s="1"/>
  <c r="C1138" i="20" s="1"/>
  <c r="C1139" i="20" s="1"/>
  <c r="C1140" i="20" s="1"/>
  <c r="C1141" i="20" s="1"/>
  <c r="K1077" i="20"/>
  <c r="I1076" i="20"/>
  <c r="O1063" i="20"/>
  <c r="N1063" i="20"/>
  <c r="D993" i="20"/>
  <c r="C993" i="20"/>
  <c r="C994" i="20" s="1"/>
  <c r="C995" i="20" s="1"/>
  <c r="C996" i="20" s="1"/>
  <c r="C997" i="20" s="1"/>
  <c r="C998" i="20" s="1"/>
  <c r="C999" i="20" s="1"/>
  <c r="C1000" i="20" s="1"/>
  <c r="C1001" i="20" s="1"/>
  <c r="C1002" i="20" s="1"/>
  <c r="C1003" i="20" s="1"/>
  <c r="C1004" i="20" s="1"/>
  <c r="C1005" i="20" s="1"/>
  <c r="C1006" i="20" s="1"/>
  <c r="C1007" i="20" s="1"/>
  <c r="C1008" i="20" s="1"/>
  <c r="C1009" i="20" s="1"/>
  <c r="C1010" i="20" s="1"/>
  <c r="C1011" i="20" s="1"/>
  <c r="C1012" i="20" s="1"/>
  <c r="C1013" i="20" s="1"/>
  <c r="C1014" i="20" s="1"/>
  <c r="C1015" i="20" s="1"/>
  <c r="C1016" i="20" s="1"/>
  <c r="C1017" i="20" s="1"/>
  <c r="C1018" i="20" s="1"/>
  <c r="C1019" i="20" s="1"/>
  <c r="C1020" i="20" s="1"/>
  <c r="C1021" i="20" s="1"/>
  <c r="C1022" i="20" s="1"/>
  <c r="C1023" i="20" s="1"/>
  <c r="C1024" i="20" s="1"/>
  <c r="C1025" i="20" s="1"/>
  <c r="C1026" i="20" s="1"/>
  <c r="C1027" i="20" s="1"/>
  <c r="C1028" i="20" s="1"/>
  <c r="C1029" i="20" s="1"/>
  <c r="C1030" i="20" s="1"/>
  <c r="C1031" i="20" s="1"/>
  <c r="C1032" i="20" s="1"/>
  <c r="C1033" i="20" s="1"/>
  <c r="C1034" i="20" s="1"/>
  <c r="C1035" i="20" s="1"/>
  <c r="C1036" i="20" s="1"/>
  <c r="C1037" i="20" s="1"/>
  <c r="C1038" i="20" s="1"/>
  <c r="C1039" i="20" s="1"/>
  <c r="C1040" i="20" s="1"/>
  <c r="C1041" i="20" s="1"/>
  <c r="C1042" i="20" s="1"/>
  <c r="C1043" i="20" s="1"/>
  <c r="C1044" i="20" s="1"/>
  <c r="C1045" i="20" s="1"/>
  <c r="C1046" i="20" s="1"/>
  <c r="C1047" i="20" s="1"/>
  <c r="C1048" i="20" s="1"/>
  <c r="C1049" i="20" s="1"/>
  <c r="C1050" i="20" s="1"/>
  <c r="C1051" i="20" s="1"/>
  <c r="C1052" i="20" s="1"/>
  <c r="K988" i="20"/>
  <c r="I987" i="20"/>
  <c r="O974" i="20"/>
  <c r="N974" i="20"/>
  <c r="D904" i="20"/>
  <c r="C904" i="20"/>
  <c r="C905" i="20" s="1"/>
  <c r="C906" i="20" s="1"/>
  <c r="C907" i="20" s="1"/>
  <c r="C908" i="20" s="1"/>
  <c r="C909" i="20" s="1"/>
  <c r="C910" i="20" s="1"/>
  <c r="C911" i="20" s="1"/>
  <c r="C912" i="20" s="1"/>
  <c r="C913" i="20" s="1"/>
  <c r="C914" i="20" s="1"/>
  <c r="C915" i="20" s="1"/>
  <c r="C916" i="20" s="1"/>
  <c r="C917" i="20" s="1"/>
  <c r="C918" i="20" s="1"/>
  <c r="C919" i="20" s="1"/>
  <c r="C920" i="20" s="1"/>
  <c r="C921" i="20" s="1"/>
  <c r="C922" i="20" s="1"/>
  <c r="C923" i="20" s="1"/>
  <c r="C924" i="20" s="1"/>
  <c r="C925" i="20" s="1"/>
  <c r="C926" i="20" s="1"/>
  <c r="C927" i="20" s="1"/>
  <c r="C928" i="20" s="1"/>
  <c r="C929" i="20" s="1"/>
  <c r="C930" i="20" s="1"/>
  <c r="C931" i="20" s="1"/>
  <c r="C932" i="20" s="1"/>
  <c r="C933" i="20" s="1"/>
  <c r="C934" i="20" s="1"/>
  <c r="C935" i="20" s="1"/>
  <c r="C936" i="20" s="1"/>
  <c r="C937" i="20" s="1"/>
  <c r="C938" i="20" s="1"/>
  <c r="C939" i="20" s="1"/>
  <c r="C940" i="20" s="1"/>
  <c r="C941" i="20" s="1"/>
  <c r="C942" i="20" s="1"/>
  <c r="C943" i="20" s="1"/>
  <c r="C944" i="20" s="1"/>
  <c r="C945" i="20" s="1"/>
  <c r="C946" i="20" s="1"/>
  <c r="C947" i="20" s="1"/>
  <c r="C948" i="20" s="1"/>
  <c r="C949" i="20" s="1"/>
  <c r="C950" i="20" s="1"/>
  <c r="C951" i="20" s="1"/>
  <c r="C952" i="20" s="1"/>
  <c r="C953" i="20" s="1"/>
  <c r="C954" i="20" s="1"/>
  <c r="C955" i="20" s="1"/>
  <c r="C956" i="20" s="1"/>
  <c r="C957" i="20" s="1"/>
  <c r="C958" i="20" s="1"/>
  <c r="C959" i="20" s="1"/>
  <c r="C960" i="20" s="1"/>
  <c r="C961" i="20" s="1"/>
  <c r="C962" i="20" s="1"/>
  <c r="C963" i="20" s="1"/>
  <c r="K899" i="20"/>
  <c r="I898" i="20"/>
  <c r="O885" i="20"/>
  <c r="N885" i="20"/>
  <c r="D815" i="20"/>
  <c r="C815" i="20"/>
  <c r="C816" i="20" s="1"/>
  <c r="C817" i="20" s="1"/>
  <c r="C818" i="20" s="1"/>
  <c r="C819" i="20" s="1"/>
  <c r="C820" i="20" s="1"/>
  <c r="C821" i="20" s="1"/>
  <c r="C822" i="20" s="1"/>
  <c r="C823" i="20" s="1"/>
  <c r="C824" i="20" s="1"/>
  <c r="C825" i="20" s="1"/>
  <c r="C826" i="20" s="1"/>
  <c r="C827" i="20" s="1"/>
  <c r="C828" i="20" s="1"/>
  <c r="C829" i="20" s="1"/>
  <c r="C830" i="20" s="1"/>
  <c r="C831" i="20" s="1"/>
  <c r="C832" i="20" s="1"/>
  <c r="C833" i="20" s="1"/>
  <c r="C834" i="20" s="1"/>
  <c r="C835" i="20" s="1"/>
  <c r="C836" i="20" s="1"/>
  <c r="C837" i="20" s="1"/>
  <c r="C838" i="20" s="1"/>
  <c r="C839" i="20" s="1"/>
  <c r="C840" i="20" s="1"/>
  <c r="C841" i="20" s="1"/>
  <c r="C842" i="20" s="1"/>
  <c r="C843" i="20" s="1"/>
  <c r="C844" i="20" s="1"/>
  <c r="C845" i="20" s="1"/>
  <c r="C846" i="20" s="1"/>
  <c r="C847" i="20" s="1"/>
  <c r="C848" i="20" s="1"/>
  <c r="C849" i="20" s="1"/>
  <c r="C850" i="20" s="1"/>
  <c r="C851" i="20" s="1"/>
  <c r="C852" i="20" s="1"/>
  <c r="C853" i="20" s="1"/>
  <c r="C854" i="20" s="1"/>
  <c r="C855" i="20" s="1"/>
  <c r="C856" i="20" s="1"/>
  <c r="C857" i="20" s="1"/>
  <c r="C858" i="20" s="1"/>
  <c r="C859" i="20" s="1"/>
  <c r="C860" i="20" s="1"/>
  <c r="C861" i="20" s="1"/>
  <c r="C862" i="20" s="1"/>
  <c r="C863" i="20" s="1"/>
  <c r="C864" i="20" s="1"/>
  <c r="C865" i="20" s="1"/>
  <c r="C866" i="20" s="1"/>
  <c r="C867" i="20" s="1"/>
  <c r="C868" i="20" s="1"/>
  <c r="C869" i="20" s="1"/>
  <c r="C870" i="20" s="1"/>
  <c r="C871" i="20" s="1"/>
  <c r="C872" i="20" s="1"/>
  <c r="C873" i="20" s="1"/>
  <c r="C874" i="20" s="1"/>
  <c r="K810" i="20"/>
  <c r="I809" i="20"/>
  <c r="O796" i="20"/>
  <c r="N796" i="20"/>
  <c r="D726" i="20"/>
  <c r="C726" i="20"/>
  <c r="C727" i="20" s="1"/>
  <c r="C728" i="20" s="1"/>
  <c r="C729" i="20" s="1"/>
  <c r="C730" i="20" s="1"/>
  <c r="C731" i="20" s="1"/>
  <c r="C732" i="20" s="1"/>
  <c r="C733" i="20" s="1"/>
  <c r="C734" i="20" s="1"/>
  <c r="C735" i="20" s="1"/>
  <c r="C736" i="20" s="1"/>
  <c r="C737" i="20" s="1"/>
  <c r="C738" i="20" s="1"/>
  <c r="C739" i="20" s="1"/>
  <c r="C740" i="20" s="1"/>
  <c r="C741" i="20" s="1"/>
  <c r="C742" i="20" s="1"/>
  <c r="C743" i="20" s="1"/>
  <c r="C744" i="20" s="1"/>
  <c r="C745" i="20" s="1"/>
  <c r="C746" i="20" s="1"/>
  <c r="C747" i="20" s="1"/>
  <c r="C748" i="20" s="1"/>
  <c r="C749" i="20" s="1"/>
  <c r="C750" i="20" s="1"/>
  <c r="C751" i="20" s="1"/>
  <c r="C752" i="20" s="1"/>
  <c r="C753" i="20" s="1"/>
  <c r="C754" i="20" s="1"/>
  <c r="C755" i="20" s="1"/>
  <c r="C756" i="20" s="1"/>
  <c r="C757" i="20" s="1"/>
  <c r="C758" i="20" s="1"/>
  <c r="C759" i="20" s="1"/>
  <c r="C760" i="20" s="1"/>
  <c r="C761" i="20" s="1"/>
  <c r="C762" i="20" s="1"/>
  <c r="C763" i="20" s="1"/>
  <c r="C764" i="20" s="1"/>
  <c r="C765" i="20" s="1"/>
  <c r="C766" i="20" s="1"/>
  <c r="C767" i="20" s="1"/>
  <c r="C768" i="20" s="1"/>
  <c r="C769" i="20" s="1"/>
  <c r="C770" i="20" s="1"/>
  <c r="C771" i="20" s="1"/>
  <c r="C772" i="20" s="1"/>
  <c r="C773" i="20" s="1"/>
  <c r="C774" i="20" s="1"/>
  <c r="C775" i="20" s="1"/>
  <c r="C776" i="20" s="1"/>
  <c r="C777" i="20" s="1"/>
  <c r="C778" i="20" s="1"/>
  <c r="C779" i="20" s="1"/>
  <c r="C780" i="20" s="1"/>
  <c r="C781" i="20" s="1"/>
  <c r="C782" i="20" s="1"/>
  <c r="C783" i="20" s="1"/>
  <c r="C784" i="20" s="1"/>
  <c r="C785" i="20" s="1"/>
  <c r="K721" i="20"/>
  <c r="I720" i="20"/>
  <c r="O707" i="20"/>
  <c r="N707" i="20"/>
  <c r="D637" i="20"/>
  <c r="C637" i="20"/>
  <c r="C638" i="20" s="1"/>
  <c r="C639" i="20" s="1"/>
  <c r="C640" i="20" s="1"/>
  <c r="C641" i="20" s="1"/>
  <c r="C642" i="20" s="1"/>
  <c r="C643" i="20" s="1"/>
  <c r="C644" i="20" s="1"/>
  <c r="C645" i="20" s="1"/>
  <c r="C646" i="20" s="1"/>
  <c r="C647" i="20" s="1"/>
  <c r="C648" i="20" s="1"/>
  <c r="C649" i="20" s="1"/>
  <c r="C650" i="20" s="1"/>
  <c r="C651" i="20" s="1"/>
  <c r="C652" i="20" s="1"/>
  <c r="C653" i="20" s="1"/>
  <c r="C654" i="20" s="1"/>
  <c r="C655" i="20" s="1"/>
  <c r="C656" i="20" s="1"/>
  <c r="C657" i="20" s="1"/>
  <c r="C658" i="20" s="1"/>
  <c r="C659" i="20" s="1"/>
  <c r="C660" i="20" s="1"/>
  <c r="C661" i="20" s="1"/>
  <c r="C662" i="20" s="1"/>
  <c r="C663" i="20" s="1"/>
  <c r="C664" i="20" s="1"/>
  <c r="C665" i="20" s="1"/>
  <c r="C666" i="20" s="1"/>
  <c r="C667" i="20" s="1"/>
  <c r="C668" i="20" s="1"/>
  <c r="C669" i="20" s="1"/>
  <c r="C670" i="20" s="1"/>
  <c r="C671" i="20" s="1"/>
  <c r="C672" i="20" s="1"/>
  <c r="C673" i="20" s="1"/>
  <c r="C674" i="20" s="1"/>
  <c r="C675" i="20" s="1"/>
  <c r="C676" i="20" s="1"/>
  <c r="C677" i="20" s="1"/>
  <c r="C678" i="20" s="1"/>
  <c r="C679" i="20" s="1"/>
  <c r="C680" i="20" s="1"/>
  <c r="C681" i="20" s="1"/>
  <c r="C682" i="20" s="1"/>
  <c r="C683" i="20" s="1"/>
  <c r="C684" i="20" s="1"/>
  <c r="C685" i="20" s="1"/>
  <c r="C686" i="20" s="1"/>
  <c r="C687" i="20" s="1"/>
  <c r="C688" i="20" s="1"/>
  <c r="C689" i="20" s="1"/>
  <c r="C690" i="20" s="1"/>
  <c r="C691" i="20" s="1"/>
  <c r="C692" i="20" s="1"/>
  <c r="C693" i="20" s="1"/>
  <c r="C694" i="20" s="1"/>
  <c r="C695" i="20" s="1"/>
  <c r="C696" i="20" s="1"/>
  <c r="K632" i="20"/>
  <c r="I631" i="20"/>
  <c r="O618" i="20"/>
  <c r="N618" i="20"/>
  <c r="D548" i="20"/>
  <c r="C548" i="20"/>
  <c r="C549" i="20" s="1"/>
  <c r="C550" i="20" s="1"/>
  <c r="C551" i="20" s="1"/>
  <c r="C552" i="20" s="1"/>
  <c r="C553" i="20" s="1"/>
  <c r="C554" i="20" s="1"/>
  <c r="C555" i="20" s="1"/>
  <c r="C556" i="20" s="1"/>
  <c r="C557" i="20" s="1"/>
  <c r="C558" i="20" s="1"/>
  <c r="C559" i="20" s="1"/>
  <c r="C560" i="20" s="1"/>
  <c r="C561" i="20" s="1"/>
  <c r="C562" i="20" s="1"/>
  <c r="C563" i="20" s="1"/>
  <c r="C564" i="20" s="1"/>
  <c r="C565" i="20" s="1"/>
  <c r="C566" i="20" s="1"/>
  <c r="C567" i="20" s="1"/>
  <c r="C568" i="20" s="1"/>
  <c r="C569" i="20" s="1"/>
  <c r="C570" i="20" s="1"/>
  <c r="C571" i="20" s="1"/>
  <c r="C572" i="20" s="1"/>
  <c r="C573" i="20" s="1"/>
  <c r="C574" i="20" s="1"/>
  <c r="C575" i="20" s="1"/>
  <c r="C576" i="20" s="1"/>
  <c r="C577" i="20" s="1"/>
  <c r="C578" i="20" s="1"/>
  <c r="C579" i="20" s="1"/>
  <c r="C580" i="20" s="1"/>
  <c r="C581" i="20" s="1"/>
  <c r="C582" i="20" s="1"/>
  <c r="C583" i="20" s="1"/>
  <c r="C584" i="20" s="1"/>
  <c r="C585" i="20" s="1"/>
  <c r="C586" i="20" s="1"/>
  <c r="C587" i="20" s="1"/>
  <c r="C588" i="20" s="1"/>
  <c r="C589" i="20" s="1"/>
  <c r="C590" i="20" s="1"/>
  <c r="C591" i="20" s="1"/>
  <c r="C592" i="20" s="1"/>
  <c r="C593" i="20" s="1"/>
  <c r="C594" i="20" s="1"/>
  <c r="C595" i="20" s="1"/>
  <c r="C596" i="20" s="1"/>
  <c r="C597" i="20" s="1"/>
  <c r="C598" i="20" s="1"/>
  <c r="C599" i="20" s="1"/>
  <c r="C600" i="20" s="1"/>
  <c r="C601" i="20" s="1"/>
  <c r="C602" i="20" s="1"/>
  <c r="C603" i="20" s="1"/>
  <c r="C604" i="20" s="1"/>
  <c r="C605" i="20" s="1"/>
  <c r="C606" i="20" s="1"/>
  <c r="C607" i="20" s="1"/>
  <c r="K543" i="20"/>
  <c r="I542" i="20"/>
  <c r="O529" i="20"/>
  <c r="N529" i="20"/>
  <c r="D459" i="20"/>
  <c r="C459" i="20"/>
  <c r="C460" i="20" s="1"/>
  <c r="C461" i="20" s="1"/>
  <c r="C462" i="20" s="1"/>
  <c r="C463" i="20" s="1"/>
  <c r="C464" i="20" s="1"/>
  <c r="C465" i="20" s="1"/>
  <c r="C466" i="20" s="1"/>
  <c r="C467" i="20" s="1"/>
  <c r="C468" i="20" s="1"/>
  <c r="C469" i="20" s="1"/>
  <c r="C470" i="20" s="1"/>
  <c r="C471" i="20" s="1"/>
  <c r="C472" i="20" s="1"/>
  <c r="C473" i="20" s="1"/>
  <c r="C474" i="20" s="1"/>
  <c r="C475" i="20" s="1"/>
  <c r="C476" i="20" s="1"/>
  <c r="C477" i="20" s="1"/>
  <c r="C478" i="20" s="1"/>
  <c r="C479" i="20" s="1"/>
  <c r="C480" i="20" s="1"/>
  <c r="C481" i="20" s="1"/>
  <c r="C482" i="20" s="1"/>
  <c r="C483" i="20" s="1"/>
  <c r="C484" i="20" s="1"/>
  <c r="C485" i="20" s="1"/>
  <c r="C486" i="20" s="1"/>
  <c r="C487" i="20" s="1"/>
  <c r="C488" i="20" s="1"/>
  <c r="C489" i="20" s="1"/>
  <c r="C490" i="20" s="1"/>
  <c r="C491" i="20" s="1"/>
  <c r="C492" i="20" s="1"/>
  <c r="C493" i="20" s="1"/>
  <c r="C494" i="20" s="1"/>
  <c r="C495" i="20" s="1"/>
  <c r="C496" i="20" s="1"/>
  <c r="C497" i="20" s="1"/>
  <c r="C498" i="20" s="1"/>
  <c r="C499" i="20" s="1"/>
  <c r="C500" i="20" s="1"/>
  <c r="C501" i="20" s="1"/>
  <c r="C502" i="20" s="1"/>
  <c r="C503" i="20" s="1"/>
  <c r="C504" i="20" s="1"/>
  <c r="C505" i="20" s="1"/>
  <c r="C506" i="20" s="1"/>
  <c r="C507" i="20" s="1"/>
  <c r="C508" i="20" s="1"/>
  <c r="C509" i="20" s="1"/>
  <c r="C510" i="20" s="1"/>
  <c r="C511" i="20" s="1"/>
  <c r="C512" i="20" s="1"/>
  <c r="C513" i="20" s="1"/>
  <c r="C514" i="20" s="1"/>
  <c r="C515" i="20" s="1"/>
  <c r="C516" i="20" s="1"/>
  <c r="C517" i="20" s="1"/>
  <c r="C518" i="20" s="1"/>
  <c r="K454" i="20"/>
  <c r="I453" i="20"/>
  <c r="O440" i="20"/>
  <c r="N440" i="20"/>
  <c r="D370" i="20"/>
  <c r="C370" i="20"/>
  <c r="C371" i="20" s="1"/>
  <c r="C372" i="20" s="1"/>
  <c r="C373" i="20" s="1"/>
  <c r="C374" i="20" s="1"/>
  <c r="C375" i="20" s="1"/>
  <c r="C376" i="20" s="1"/>
  <c r="C377" i="20" s="1"/>
  <c r="C378" i="20" s="1"/>
  <c r="C379" i="20" s="1"/>
  <c r="C380" i="20" s="1"/>
  <c r="C381" i="20" s="1"/>
  <c r="C382" i="20" s="1"/>
  <c r="C383" i="20" s="1"/>
  <c r="C384" i="20" s="1"/>
  <c r="C385" i="20" s="1"/>
  <c r="C386" i="20" s="1"/>
  <c r="C387" i="20" s="1"/>
  <c r="C388" i="20" s="1"/>
  <c r="C389" i="20" s="1"/>
  <c r="C390" i="20" s="1"/>
  <c r="C391" i="20" s="1"/>
  <c r="C392" i="20" s="1"/>
  <c r="C393" i="20" s="1"/>
  <c r="C394" i="20" s="1"/>
  <c r="C395" i="20" s="1"/>
  <c r="C396" i="20" s="1"/>
  <c r="C397" i="20" s="1"/>
  <c r="C398" i="20" s="1"/>
  <c r="C399" i="20" s="1"/>
  <c r="C400" i="20" s="1"/>
  <c r="C401" i="20" s="1"/>
  <c r="C402" i="20" s="1"/>
  <c r="C403" i="20" s="1"/>
  <c r="C404" i="20" s="1"/>
  <c r="C405" i="20" s="1"/>
  <c r="C406" i="20" s="1"/>
  <c r="C407" i="20" s="1"/>
  <c r="C408" i="20" s="1"/>
  <c r="C409" i="20" s="1"/>
  <c r="C410" i="20" s="1"/>
  <c r="C411" i="20" s="1"/>
  <c r="C412" i="20" s="1"/>
  <c r="C413" i="20" s="1"/>
  <c r="C414" i="20" s="1"/>
  <c r="C415" i="20" s="1"/>
  <c r="C416" i="20" s="1"/>
  <c r="C417" i="20" s="1"/>
  <c r="C418" i="20" s="1"/>
  <c r="C419" i="20" s="1"/>
  <c r="C420" i="20" s="1"/>
  <c r="C421" i="20" s="1"/>
  <c r="C422" i="20" s="1"/>
  <c r="C423" i="20" s="1"/>
  <c r="C424" i="20" s="1"/>
  <c r="C425" i="20" s="1"/>
  <c r="C426" i="20" s="1"/>
  <c r="C427" i="20" s="1"/>
  <c r="C428" i="20" s="1"/>
  <c r="C429" i="20" s="1"/>
  <c r="K365" i="20"/>
  <c r="I364" i="20"/>
  <c r="O351" i="20"/>
  <c r="N351" i="20"/>
  <c r="D281" i="20"/>
  <c r="C281" i="20"/>
  <c r="C282" i="20" s="1"/>
  <c r="C283" i="20" s="1"/>
  <c r="C284" i="20" s="1"/>
  <c r="C285" i="20" s="1"/>
  <c r="C286" i="20" s="1"/>
  <c r="C287" i="20" s="1"/>
  <c r="C288" i="20" s="1"/>
  <c r="C289" i="20" s="1"/>
  <c r="C290" i="20" s="1"/>
  <c r="C291" i="20" s="1"/>
  <c r="C292" i="20" s="1"/>
  <c r="C293" i="20" s="1"/>
  <c r="C294" i="20" s="1"/>
  <c r="C295" i="20" s="1"/>
  <c r="C296" i="20" s="1"/>
  <c r="C297" i="20" s="1"/>
  <c r="C298" i="20" s="1"/>
  <c r="C299" i="20" s="1"/>
  <c r="C300" i="20" s="1"/>
  <c r="C301" i="20" s="1"/>
  <c r="C302" i="20" s="1"/>
  <c r="C303" i="20" s="1"/>
  <c r="C304" i="20" s="1"/>
  <c r="C305" i="20" s="1"/>
  <c r="C306" i="20" s="1"/>
  <c r="C307" i="20" s="1"/>
  <c r="C308" i="20" s="1"/>
  <c r="C309" i="20" s="1"/>
  <c r="C310" i="20" s="1"/>
  <c r="C311" i="20" s="1"/>
  <c r="C312" i="20" s="1"/>
  <c r="C313" i="20" s="1"/>
  <c r="C314" i="20" s="1"/>
  <c r="C315" i="20" s="1"/>
  <c r="C316" i="20" s="1"/>
  <c r="C317" i="20" s="1"/>
  <c r="C318" i="20" s="1"/>
  <c r="C319" i="20" s="1"/>
  <c r="C320" i="20" s="1"/>
  <c r="C321" i="20" s="1"/>
  <c r="C322" i="20" s="1"/>
  <c r="C323" i="20" s="1"/>
  <c r="C324" i="20" s="1"/>
  <c r="C325" i="20" s="1"/>
  <c r="C326" i="20" s="1"/>
  <c r="C327" i="20" s="1"/>
  <c r="C328" i="20" s="1"/>
  <c r="C329" i="20" s="1"/>
  <c r="C330" i="20" s="1"/>
  <c r="C331" i="20" s="1"/>
  <c r="C332" i="20" s="1"/>
  <c r="C333" i="20" s="1"/>
  <c r="C334" i="20" s="1"/>
  <c r="C335" i="20" s="1"/>
  <c r="C336" i="20" s="1"/>
  <c r="C337" i="20" s="1"/>
  <c r="C338" i="20" s="1"/>
  <c r="C339" i="20" s="1"/>
  <c r="C340" i="20" s="1"/>
  <c r="K276" i="20"/>
  <c r="I275" i="20"/>
  <c r="O262" i="20"/>
  <c r="N262" i="20"/>
  <c r="D192" i="20"/>
  <c r="C192" i="20"/>
  <c r="C193" i="20" s="1"/>
  <c r="C194" i="20" s="1"/>
  <c r="C195" i="20" s="1"/>
  <c r="C196" i="20" s="1"/>
  <c r="C197" i="20" s="1"/>
  <c r="C198" i="20" s="1"/>
  <c r="C199" i="20" s="1"/>
  <c r="C200" i="20" s="1"/>
  <c r="C201" i="20" s="1"/>
  <c r="C202" i="20" s="1"/>
  <c r="C203" i="20" s="1"/>
  <c r="C204" i="20" s="1"/>
  <c r="C205" i="20" s="1"/>
  <c r="C206" i="20" s="1"/>
  <c r="C207" i="20" s="1"/>
  <c r="C208" i="20" s="1"/>
  <c r="C209" i="20" s="1"/>
  <c r="C210" i="20" s="1"/>
  <c r="C211" i="20" s="1"/>
  <c r="C212" i="20" s="1"/>
  <c r="C213" i="20" s="1"/>
  <c r="C214" i="20" s="1"/>
  <c r="C215" i="20" s="1"/>
  <c r="C216" i="20" s="1"/>
  <c r="C217" i="20" s="1"/>
  <c r="C218" i="20" s="1"/>
  <c r="C219" i="20" s="1"/>
  <c r="C220" i="20" s="1"/>
  <c r="C221" i="20" s="1"/>
  <c r="C222" i="20" s="1"/>
  <c r="C223" i="20" s="1"/>
  <c r="C224" i="20" s="1"/>
  <c r="C225" i="20" s="1"/>
  <c r="C226" i="20" s="1"/>
  <c r="C227" i="20" s="1"/>
  <c r="C228" i="20" s="1"/>
  <c r="C229" i="20" s="1"/>
  <c r="C230" i="20" s="1"/>
  <c r="C231" i="20" s="1"/>
  <c r="C232" i="20" s="1"/>
  <c r="C233" i="20" s="1"/>
  <c r="C234" i="20" s="1"/>
  <c r="C235" i="20" s="1"/>
  <c r="C236" i="20" s="1"/>
  <c r="C237" i="20" s="1"/>
  <c r="C238" i="20" s="1"/>
  <c r="C239" i="20" s="1"/>
  <c r="C240" i="20" s="1"/>
  <c r="C241" i="20" s="1"/>
  <c r="C242" i="20" s="1"/>
  <c r="C243" i="20" s="1"/>
  <c r="C244" i="20" s="1"/>
  <c r="C245" i="20" s="1"/>
  <c r="C246" i="20" s="1"/>
  <c r="C247" i="20" s="1"/>
  <c r="C248" i="20" s="1"/>
  <c r="C249" i="20" s="1"/>
  <c r="C250" i="20" s="1"/>
  <c r="C251" i="20" s="1"/>
  <c r="K187" i="20"/>
  <c r="I186" i="20"/>
  <c r="O173" i="20"/>
  <c r="N173" i="20"/>
  <c r="D102" i="20"/>
  <c r="C102" i="20"/>
  <c r="C103" i="20" s="1"/>
  <c r="C104" i="20" s="1"/>
  <c r="C105" i="20" s="1"/>
  <c r="C106" i="20" s="1"/>
  <c r="C107" i="20" s="1"/>
  <c r="C108" i="20" s="1"/>
  <c r="C109" i="20" s="1"/>
  <c r="C110" i="20" s="1"/>
  <c r="C111" i="20" s="1"/>
  <c r="C112" i="20" s="1"/>
  <c r="C113" i="20" s="1"/>
  <c r="C114" i="20" s="1"/>
  <c r="C115" i="20" s="1"/>
  <c r="C116" i="20" s="1"/>
  <c r="C117" i="20" s="1"/>
  <c r="C118" i="20" s="1"/>
  <c r="C119" i="20" s="1"/>
  <c r="C120" i="20" s="1"/>
  <c r="C121" i="20" s="1"/>
  <c r="C122" i="20" s="1"/>
  <c r="C123" i="20" s="1"/>
  <c r="C124" i="20" s="1"/>
  <c r="C125" i="20" s="1"/>
  <c r="C126" i="20" s="1"/>
  <c r="C127" i="20" s="1"/>
  <c r="C128" i="20" s="1"/>
  <c r="C129" i="20" s="1"/>
  <c r="C130" i="20" s="1"/>
  <c r="C131" i="20" s="1"/>
  <c r="C132" i="20" s="1"/>
  <c r="C133" i="20" s="1"/>
  <c r="C134" i="20" s="1"/>
  <c r="C135" i="20" s="1"/>
  <c r="C136" i="20" s="1"/>
  <c r="C137" i="20" s="1"/>
  <c r="C138" i="20" s="1"/>
  <c r="C139" i="20" s="1"/>
  <c r="C140" i="20" s="1"/>
  <c r="C141" i="20" s="1"/>
  <c r="C142" i="20" s="1"/>
  <c r="C143" i="20" s="1"/>
  <c r="C144" i="20" s="1"/>
  <c r="C145" i="20" s="1"/>
  <c r="C146" i="20" s="1"/>
  <c r="C147" i="20" s="1"/>
  <c r="C148" i="20" s="1"/>
  <c r="C149" i="20" s="1"/>
  <c r="C150" i="20" s="1"/>
  <c r="C151" i="20" s="1"/>
  <c r="C152" i="20" s="1"/>
  <c r="C153" i="20" s="1"/>
  <c r="C154" i="20" s="1"/>
  <c r="C155" i="20" s="1"/>
  <c r="C156" i="20" s="1"/>
  <c r="C157" i="20" s="1"/>
  <c r="C158" i="20" s="1"/>
  <c r="C159" i="20" s="1"/>
  <c r="C160" i="20" s="1"/>
  <c r="C161" i="20" s="1"/>
  <c r="K97" i="20"/>
  <c r="I96" i="20"/>
  <c r="O83" i="20"/>
  <c r="N83" i="20"/>
  <c r="G22" i="49"/>
  <c r="G23" i="49" s="1"/>
  <c r="G24" i="49" s="1"/>
  <c r="G25" i="49" s="1"/>
  <c r="G26" i="49" s="1"/>
  <c r="G27" i="49" s="1"/>
  <c r="G28" i="49" s="1"/>
  <c r="G29" i="49" s="1"/>
  <c r="G30" i="49" s="1"/>
  <c r="G31" i="49" s="1"/>
  <c r="G32" i="49" s="1"/>
  <c r="F21" i="49"/>
  <c r="F22" i="49" s="1"/>
  <c r="F23" i="49" s="1"/>
  <c r="F24" i="49" s="1"/>
  <c r="H10" i="49"/>
  <c r="D21" i="49" s="1"/>
  <c r="F10" i="49"/>
  <c r="B10" i="49"/>
  <c r="G22" i="47"/>
  <c r="G23" i="47" s="1"/>
  <c r="G24" i="47" s="1"/>
  <c r="G25" i="47" s="1"/>
  <c r="G26" i="47" s="1"/>
  <c r="G27" i="47" s="1"/>
  <c r="G28" i="47" s="1"/>
  <c r="G29" i="47" s="1"/>
  <c r="G30" i="47" s="1"/>
  <c r="G31" i="47" s="1"/>
  <c r="G32" i="47" s="1"/>
  <c r="F21" i="47"/>
  <c r="H10" i="47"/>
  <c r="I54" i="47" s="1"/>
  <c r="F10" i="47"/>
  <c r="B10" i="47"/>
  <c r="B40" i="32"/>
  <c r="B41" i="32" s="1"/>
  <c r="B42" i="32" s="1"/>
  <c r="B43" i="32" s="1"/>
  <c r="B44" i="32" s="1"/>
  <c r="B45" i="32" s="1"/>
  <c r="B46" i="32" s="1"/>
  <c r="B47" i="32" s="1"/>
  <c r="B48" i="32" s="1"/>
  <c r="B49" i="32" s="1"/>
  <c r="B50" i="32" s="1"/>
  <c r="G22" i="32"/>
  <c r="G23" i="32" s="1"/>
  <c r="G24" i="32" s="1"/>
  <c r="G25" i="32" s="1"/>
  <c r="G26" i="32" s="1"/>
  <c r="G27" i="32" s="1"/>
  <c r="G28" i="32" s="1"/>
  <c r="G29" i="32" s="1"/>
  <c r="G30" i="32" s="1"/>
  <c r="G31" i="32" s="1"/>
  <c r="G32" i="32" s="1"/>
  <c r="F21" i="32"/>
  <c r="F22" i="32" s="1"/>
  <c r="B22" i="32"/>
  <c r="B23" i="32" s="1"/>
  <c r="B24" i="32" s="1"/>
  <c r="B25" i="32" s="1"/>
  <c r="B26" i="32" s="1"/>
  <c r="B27" i="32" s="1"/>
  <c r="B28" i="32" s="1"/>
  <c r="B29" i="32" s="1"/>
  <c r="B30" i="32" s="1"/>
  <c r="B31" i="32" s="1"/>
  <c r="B32" i="32" s="1"/>
  <c r="H10" i="32"/>
  <c r="D21" i="32" s="1"/>
  <c r="F10" i="32"/>
  <c r="B10" i="32"/>
  <c r="M65" i="11"/>
  <c r="C61" i="11"/>
  <c r="M54" i="11"/>
  <c r="C50" i="11"/>
  <c r="F42" i="10"/>
  <c r="D63" i="6"/>
  <c r="D31" i="6" s="1"/>
  <c r="G42" i="41"/>
  <c r="F42" i="41"/>
  <c r="E42" i="41"/>
  <c r="D42" i="41"/>
  <c r="C42" i="41"/>
  <c r="F23" i="41"/>
  <c r="L267" i="2" s="1"/>
  <c r="D23" i="41"/>
  <c r="L265" i="2" s="1"/>
  <c r="C23" i="41"/>
  <c r="L264" i="2" s="1"/>
  <c r="F62" i="35"/>
  <c r="D62" i="35"/>
  <c r="C62" i="35"/>
  <c r="L236" i="2" s="1"/>
  <c r="K42" i="35"/>
  <c r="G88" i="2" s="1"/>
  <c r="J42" i="35"/>
  <c r="G87" i="2" s="1"/>
  <c r="I42" i="35"/>
  <c r="G86" i="2" s="1"/>
  <c r="H42" i="35"/>
  <c r="G85" i="2" s="1"/>
  <c r="L85" i="2" s="1"/>
  <c r="G42" i="35"/>
  <c r="G84" i="2" s="1"/>
  <c r="L84" i="2" s="1"/>
  <c r="F42" i="35"/>
  <c r="G83" i="2" s="1"/>
  <c r="E42" i="35"/>
  <c r="G82" i="2" s="1"/>
  <c r="D42" i="35"/>
  <c r="G81" i="2" s="1"/>
  <c r="L81" i="2" s="1"/>
  <c r="C42" i="35"/>
  <c r="G80" i="2" s="1"/>
  <c r="K23" i="35"/>
  <c r="G74" i="2" s="1"/>
  <c r="J23" i="35"/>
  <c r="G73" i="2" s="1"/>
  <c r="I23" i="35"/>
  <c r="G72" i="2" s="1"/>
  <c r="H23" i="35"/>
  <c r="G71" i="2" s="1"/>
  <c r="L71" i="2" s="1"/>
  <c r="G23" i="35"/>
  <c r="G70" i="2" s="1"/>
  <c r="L70" i="2" s="1"/>
  <c r="F23" i="35"/>
  <c r="G69" i="2" s="1"/>
  <c r="E23" i="35"/>
  <c r="G68" i="2" s="1"/>
  <c r="G160" i="2"/>
  <c r="F17" i="48"/>
  <c r="B14" i="48"/>
  <c r="A6" i="48"/>
  <c r="K41" i="48"/>
  <c r="K37" i="48"/>
  <c r="E28" i="48"/>
  <c r="A23" i="48"/>
  <c r="A24" i="48" s="1"/>
  <c r="A25" i="48" s="1"/>
  <c r="A26" i="48" s="1"/>
  <c r="A27" i="48" s="1"/>
  <c r="B28" i="48" s="1"/>
  <c r="E20" i="48"/>
  <c r="A4" i="48"/>
  <c r="C63" i="41"/>
  <c r="B48" i="41"/>
  <c r="I27" i="42"/>
  <c r="E27" i="42"/>
  <c r="I26" i="42"/>
  <c r="E26" i="42"/>
  <c r="I25" i="42"/>
  <c r="E25" i="42"/>
  <c r="I24" i="42"/>
  <c r="E24" i="42"/>
  <c r="I23" i="42"/>
  <c r="E23" i="42"/>
  <c r="I22" i="42"/>
  <c r="E22" i="42"/>
  <c r="I21" i="42"/>
  <c r="E21" i="42"/>
  <c r="I20" i="42"/>
  <c r="E20" i="42"/>
  <c r="I19" i="42"/>
  <c r="E19" i="42"/>
  <c r="I29" i="30"/>
  <c r="I35" i="30"/>
  <c r="A6" i="11"/>
  <c r="A4" i="41"/>
  <c r="A6" i="13"/>
  <c r="A6" i="20"/>
  <c r="A6" i="10"/>
  <c r="A6" i="9"/>
  <c r="A6" i="8"/>
  <c r="B36" i="8" s="1"/>
  <c r="A6" i="7"/>
  <c r="B26" i="7" s="1"/>
  <c r="A6" i="6"/>
  <c r="B1" i="39"/>
  <c r="B1" i="38"/>
  <c r="A6" i="5"/>
  <c r="A4" i="35"/>
  <c r="B3" i="39"/>
  <c r="Q10" i="39"/>
  <c r="Q10" i="38"/>
  <c r="M10" i="39"/>
  <c r="M10" i="38"/>
  <c r="F13" i="39"/>
  <c r="E13" i="39"/>
  <c r="E13" i="38"/>
  <c r="D13" i="39"/>
  <c r="D13" i="38"/>
  <c r="C13" i="39"/>
  <c r="C13" i="38"/>
  <c r="M95" i="39"/>
  <c r="D43" i="5"/>
  <c r="D42" i="5"/>
  <c r="D27" i="5"/>
  <c r="D19" i="5"/>
  <c r="F85" i="35"/>
  <c r="S186" i="38"/>
  <c r="S192" i="38" s="1"/>
  <c r="R186" i="38"/>
  <c r="R192" i="38" s="1"/>
  <c r="Q186" i="38"/>
  <c r="Q192" i="38" s="1"/>
  <c r="R61" i="38"/>
  <c r="F13" i="38"/>
  <c r="B3" i="38"/>
  <c r="A62" i="38"/>
  <c r="D26" i="5" s="1"/>
  <c r="A189" i="38"/>
  <c r="A192" i="38" s="1"/>
  <c r="S206" i="38"/>
  <c r="R206" i="38"/>
  <c r="E52" i="5" s="1"/>
  <c r="Q206" i="38"/>
  <c r="O206" i="38"/>
  <c r="N206" i="38"/>
  <c r="G52" i="5" s="1"/>
  <c r="M206" i="38"/>
  <c r="F206" i="38"/>
  <c r="E206" i="38"/>
  <c r="K204" i="38"/>
  <c r="J204" i="38"/>
  <c r="I204" i="38"/>
  <c r="D204" i="38"/>
  <c r="C204" i="38"/>
  <c r="K203" i="38"/>
  <c r="J203" i="38"/>
  <c r="I203" i="38"/>
  <c r="D203" i="38"/>
  <c r="C203" i="38"/>
  <c r="K189" i="38"/>
  <c r="J189" i="38"/>
  <c r="I189" i="38"/>
  <c r="D189" i="38"/>
  <c r="C189" i="38"/>
  <c r="S23" i="38"/>
  <c r="R23" i="38"/>
  <c r="Q23" i="38"/>
  <c r="E23" i="38"/>
  <c r="K17" i="38"/>
  <c r="K23" i="38" s="1"/>
  <c r="J17" i="38"/>
  <c r="J23" i="38" s="1"/>
  <c r="I17" i="38"/>
  <c r="I23" i="38" s="1"/>
  <c r="D17" i="38"/>
  <c r="C17" i="38"/>
  <c r="A24" i="38"/>
  <c r="D18" i="5" s="1"/>
  <c r="Q27" i="21"/>
  <c r="Q22" i="21"/>
  <c r="Q17" i="21"/>
  <c r="A2" i="41"/>
  <c r="A11" i="41"/>
  <c r="A12" i="41" s="1"/>
  <c r="A13" i="41" s="1"/>
  <c r="A14" i="41" s="1"/>
  <c r="A15" i="41" s="1"/>
  <c r="A16" i="41" s="1"/>
  <c r="A17" i="41" s="1"/>
  <c r="A18" i="41" s="1"/>
  <c r="A19" i="41" s="1"/>
  <c r="A20" i="41" s="1"/>
  <c r="A21" i="41" s="1"/>
  <c r="A22" i="41" s="1"/>
  <c r="A23" i="41" s="1"/>
  <c r="H29" i="41"/>
  <c r="H31" i="41"/>
  <c r="H33" i="41"/>
  <c r="H35" i="41"/>
  <c r="H37" i="41"/>
  <c r="H39" i="41"/>
  <c r="H41" i="41"/>
  <c r="D74" i="41"/>
  <c r="B85" i="41"/>
  <c r="B86" i="41"/>
  <c r="B87" i="41"/>
  <c r="C88" i="41"/>
  <c r="D88" i="41"/>
  <c r="D89" i="41" s="1"/>
  <c r="B91" i="41"/>
  <c r="B92" i="41"/>
  <c r="B93" i="41"/>
  <c r="C94" i="41"/>
  <c r="C95" i="41" s="1"/>
  <c r="D94" i="41"/>
  <c r="D95" i="41" s="1"/>
  <c r="B97" i="41"/>
  <c r="B98" i="41"/>
  <c r="B99" i="41"/>
  <c r="C100" i="41"/>
  <c r="C101" i="41" s="1"/>
  <c r="D100" i="41"/>
  <c r="D101" i="41" s="1"/>
  <c r="H40" i="41"/>
  <c r="H38" i="41"/>
  <c r="H36" i="41"/>
  <c r="H34" i="41"/>
  <c r="H32" i="41"/>
  <c r="H30" i="41"/>
  <c r="E115" i="2"/>
  <c r="E88" i="35"/>
  <c r="D88" i="35"/>
  <c r="E67" i="35"/>
  <c r="F67" i="35"/>
  <c r="D67" i="35"/>
  <c r="A69" i="35"/>
  <c r="A71" i="35" s="1"/>
  <c r="A75" i="35" s="1"/>
  <c r="A76" i="35" s="1"/>
  <c r="A77" i="35" s="1"/>
  <c r="A78" i="35" s="1"/>
  <c r="A79" i="35" s="1"/>
  <c r="A80" i="35" s="1"/>
  <c r="E80" i="35"/>
  <c r="D80" i="35"/>
  <c r="F79" i="35"/>
  <c r="F78" i="35"/>
  <c r="F77" i="35"/>
  <c r="F76" i="35"/>
  <c r="F75" i="35"/>
  <c r="F71" i="35"/>
  <c r="L111" i="2" s="1"/>
  <c r="F69" i="35"/>
  <c r="G111" i="2" s="1"/>
  <c r="A11" i="35"/>
  <c r="A12" i="35" s="1"/>
  <c r="A13" i="35" s="1"/>
  <c r="A14" i="35" s="1"/>
  <c r="A15" i="35" s="1"/>
  <c r="A16" i="35" s="1"/>
  <c r="A17" i="35" s="1"/>
  <c r="A18" i="35" s="1"/>
  <c r="A19" i="35" s="1"/>
  <c r="A20" i="35" s="1"/>
  <c r="A21" i="35" s="1"/>
  <c r="A22" i="35" s="1"/>
  <c r="A23" i="35" s="1"/>
  <c r="A2" i="35"/>
  <c r="I63" i="30"/>
  <c r="I60" i="30"/>
  <c r="I59" i="30"/>
  <c r="I58" i="30"/>
  <c r="I39" i="30"/>
  <c r="B21" i="7"/>
  <c r="K27" i="8"/>
  <c r="K31" i="8" s="1"/>
  <c r="G15" i="2" s="1"/>
  <c r="L15" i="2" s="1"/>
  <c r="I27" i="8"/>
  <c r="I31" i="8" s="1"/>
  <c r="B11" i="7"/>
  <c r="E76" i="30"/>
  <c r="E27" i="11" s="1"/>
  <c r="I27" i="11" s="1"/>
  <c r="O83" i="13"/>
  <c r="P83" i="13"/>
  <c r="J21" i="8"/>
  <c r="J19" i="8"/>
  <c r="J17" i="8"/>
  <c r="J15" i="8"/>
  <c r="J13" i="8"/>
  <c r="L89" i="13"/>
  <c r="L97" i="13"/>
  <c r="C102" i="13"/>
  <c r="C103" i="13" s="1"/>
  <c r="C104" i="13" s="1"/>
  <c r="C105" i="13" s="1"/>
  <c r="C106" i="13" s="1"/>
  <c r="C107" i="13" s="1"/>
  <c r="C108" i="13" s="1"/>
  <c r="C109" i="13" s="1"/>
  <c r="C110" i="13" s="1"/>
  <c r="C111" i="13" s="1"/>
  <c r="C112" i="13" s="1"/>
  <c r="C113" i="13" s="1"/>
  <c r="C114" i="13" s="1"/>
  <c r="C115" i="13" s="1"/>
  <c r="C116" i="13" s="1"/>
  <c r="C117" i="13" s="1"/>
  <c r="C118" i="13" s="1"/>
  <c r="C119" i="13" s="1"/>
  <c r="C120" i="13" s="1"/>
  <c r="C121" i="13" s="1"/>
  <c r="C122" i="13" s="1"/>
  <c r="C123" i="13" s="1"/>
  <c r="C124" i="13" s="1"/>
  <c r="C125" i="13" s="1"/>
  <c r="C126" i="13" s="1"/>
  <c r="C127" i="13" s="1"/>
  <c r="C128" i="13" s="1"/>
  <c r="C129" i="13" s="1"/>
  <c r="C130" i="13" s="1"/>
  <c r="C131" i="13" s="1"/>
  <c r="C132" i="13" s="1"/>
  <c r="C133" i="13" s="1"/>
  <c r="C134" i="13" s="1"/>
  <c r="C135" i="13" s="1"/>
  <c r="C136" i="13" s="1"/>
  <c r="C137" i="13" s="1"/>
  <c r="C138" i="13" s="1"/>
  <c r="C139" i="13" s="1"/>
  <c r="C140" i="13" s="1"/>
  <c r="C141" i="13" s="1"/>
  <c r="C142" i="13" s="1"/>
  <c r="C143" i="13" s="1"/>
  <c r="C144" i="13" s="1"/>
  <c r="C145" i="13" s="1"/>
  <c r="C146" i="13" s="1"/>
  <c r="C147" i="13" s="1"/>
  <c r="C148" i="13" s="1"/>
  <c r="C149" i="13" s="1"/>
  <c r="C150" i="13" s="1"/>
  <c r="C151" i="13" s="1"/>
  <c r="C152" i="13" s="1"/>
  <c r="C153" i="13" s="1"/>
  <c r="C154" i="13" s="1"/>
  <c r="C155" i="13" s="1"/>
  <c r="C156" i="13" s="1"/>
  <c r="C157" i="13" s="1"/>
  <c r="C158" i="13" s="1"/>
  <c r="C159" i="13" s="1"/>
  <c r="C160" i="13" s="1"/>
  <c r="C161" i="13" s="1"/>
  <c r="D102" i="13"/>
  <c r="M102" i="13"/>
  <c r="O102" i="13"/>
  <c r="M120" i="13"/>
  <c r="O120" i="13"/>
  <c r="M121" i="13"/>
  <c r="O121" i="13"/>
  <c r="M122" i="13"/>
  <c r="O122" i="13"/>
  <c r="M123" i="13"/>
  <c r="O123" i="13"/>
  <c r="M124" i="13"/>
  <c r="O124" i="13"/>
  <c r="M125" i="13"/>
  <c r="O125" i="13"/>
  <c r="M126" i="13"/>
  <c r="O126" i="13"/>
  <c r="M127" i="13"/>
  <c r="O127" i="13"/>
  <c r="M128" i="13"/>
  <c r="O128" i="13"/>
  <c r="M129" i="13"/>
  <c r="O129" i="13"/>
  <c r="M130" i="13"/>
  <c r="O130" i="13"/>
  <c r="M131" i="13"/>
  <c r="O131" i="13"/>
  <c r="M132" i="13"/>
  <c r="O132" i="13"/>
  <c r="M133" i="13"/>
  <c r="O133" i="13"/>
  <c r="M134" i="13"/>
  <c r="O134" i="13"/>
  <c r="M135" i="13"/>
  <c r="O135" i="13"/>
  <c r="M136" i="13"/>
  <c r="O136" i="13"/>
  <c r="M137" i="13"/>
  <c r="O137" i="13"/>
  <c r="M138" i="13"/>
  <c r="O138" i="13"/>
  <c r="M139" i="13"/>
  <c r="O139" i="13"/>
  <c r="M140" i="13"/>
  <c r="O140" i="13"/>
  <c r="M141" i="13"/>
  <c r="O141" i="13"/>
  <c r="M142" i="13"/>
  <c r="O142" i="13"/>
  <c r="M143" i="13"/>
  <c r="O143" i="13"/>
  <c r="M144" i="13"/>
  <c r="O144" i="13"/>
  <c r="M145" i="13"/>
  <c r="O145" i="13"/>
  <c r="M146" i="13"/>
  <c r="O146" i="13"/>
  <c r="M147" i="13"/>
  <c r="O147" i="13"/>
  <c r="M148" i="13"/>
  <c r="O148" i="13"/>
  <c r="M149" i="13"/>
  <c r="O149" i="13"/>
  <c r="M150" i="13"/>
  <c r="O150" i="13"/>
  <c r="M151" i="13"/>
  <c r="O151" i="13"/>
  <c r="M152" i="13"/>
  <c r="O152" i="13"/>
  <c r="M153" i="13"/>
  <c r="O153" i="13"/>
  <c r="M154" i="13"/>
  <c r="O154" i="13"/>
  <c r="M155" i="13"/>
  <c r="O155" i="13"/>
  <c r="M156" i="13"/>
  <c r="O156" i="13"/>
  <c r="M157" i="13"/>
  <c r="O157" i="13"/>
  <c r="M158" i="13"/>
  <c r="O158" i="13"/>
  <c r="M159" i="13"/>
  <c r="O159" i="13"/>
  <c r="M160" i="13"/>
  <c r="O160" i="13"/>
  <c r="M161" i="13"/>
  <c r="O161" i="13"/>
  <c r="A6" i="30"/>
  <c r="E136" i="30"/>
  <c r="E40" i="11" s="1"/>
  <c r="M40" i="11" s="1"/>
  <c r="E118" i="30"/>
  <c r="E101" i="30"/>
  <c r="E36" i="11" s="1"/>
  <c r="K36" i="11" s="1"/>
  <c r="E34" i="11"/>
  <c r="M34" i="11" s="1"/>
  <c r="E61" i="30"/>
  <c r="E23" i="11" s="1"/>
  <c r="G23" i="11" s="1"/>
  <c r="M82" i="11" s="1"/>
  <c r="D61" i="9"/>
  <c r="G163" i="2" s="1"/>
  <c r="D21" i="9"/>
  <c r="G154" i="2" s="1"/>
  <c r="L26" i="20"/>
  <c r="A4" i="21"/>
  <c r="A4" i="30"/>
  <c r="A4" i="11"/>
  <c r="A4" i="10"/>
  <c r="A4" i="9"/>
  <c r="A4" i="8"/>
  <c r="A4" i="7"/>
  <c r="A4" i="6"/>
  <c r="A4" i="5"/>
  <c r="F7" i="2"/>
  <c r="F56" i="2" s="1"/>
  <c r="F136" i="2" s="1"/>
  <c r="F226" i="2" s="1"/>
  <c r="F279" i="2" s="1"/>
  <c r="F16" i="13"/>
  <c r="F18" i="13" s="1"/>
  <c r="E23" i="13" s="1"/>
  <c r="F16" i="20"/>
  <c r="F18" i="20" s="1"/>
  <c r="E23" i="20" s="1"/>
  <c r="L18" i="2"/>
  <c r="B13" i="2"/>
  <c r="C47" i="20" s="1"/>
  <c r="G96" i="6"/>
  <c r="G32" i="6" s="1"/>
  <c r="G33" i="6" s="1"/>
  <c r="G125" i="2" s="1"/>
  <c r="L125" i="2" s="1"/>
  <c r="O8" i="20"/>
  <c r="E55" i="30"/>
  <c r="E22" i="11" s="1"/>
  <c r="G22" i="11" s="1"/>
  <c r="E15" i="30"/>
  <c r="E17" i="11" s="1"/>
  <c r="M17" i="11" s="1"/>
  <c r="E87" i="30"/>
  <c r="E31" i="11" s="1"/>
  <c r="M31" i="11" s="1"/>
  <c r="L249" i="2"/>
  <c r="L251" i="2"/>
  <c r="L253" i="2"/>
  <c r="L254" i="2"/>
  <c r="F255" i="2"/>
  <c r="G255" i="2"/>
  <c r="K41" i="6"/>
  <c r="E41" i="6" s="1"/>
  <c r="K43" i="6"/>
  <c r="E43" i="6" s="1"/>
  <c r="C21" i="7"/>
  <c r="C23" i="7" s="1"/>
  <c r="G129" i="2" s="1"/>
  <c r="L129" i="2" s="1"/>
  <c r="E26" i="11"/>
  <c r="I26" i="11" s="1"/>
  <c r="E21" i="11"/>
  <c r="G21" i="11" s="1"/>
  <c r="E128" i="30"/>
  <c r="E39" i="11" s="1"/>
  <c r="M39" i="11" s="1"/>
  <c r="E139" i="30"/>
  <c r="E41" i="11" s="1"/>
  <c r="M41" i="11" s="1"/>
  <c r="E97" i="30"/>
  <c r="E35" i="11" s="1"/>
  <c r="K35" i="11" s="1"/>
  <c r="E111" i="30"/>
  <c r="E37" i="11" s="1"/>
  <c r="K37" i="11" s="1"/>
  <c r="G169" i="2"/>
  <c r="F71" i="9"/>
  <c r="G170" i="2" s="1"/>
  <c r="L170" i="2" s="1"/>
  <c r="O17" i="21"/>
  <c r="O22" i="21"/>
  <c r="O27" i="21"/>
  <c r="I17" i="6"/>
  <c r="G119" i="2" s="1"/>
  <c r="I21" i="6"/>
  <c r="G121" i="2" s="1"/>
  <c r="I23" i="6"/>
  <c r="G122" i="2" s="1"/>
  <c r="D71" i="9"/>
  <c r="G164" i="2" s="1"/>
  <c r="A24" i="9"/>
  <c r="A25" i="9" s="1"/>
  <c r="A26" i="9" s="1"/>
  <c r="A27" i="9" s="1"/>
  <c r="A28" i="9" s="1"/>
  <c r="A29" i="9" s="1"/>
  <c r="A30" i="9" s="1"/>
  <c r="A31" i="9" s="1"/>
  <c r="A32" i="9" s="1"/>
  <c r="A33" i="9" s="1"/>
  <c r="A15" i="7"/>
  <c r="A17" i="7" s="1"/>
  <c r="A18" i="7" s="1"/>
  <c r="A19" i="7" s="1"/>
  <c r="A21" i="7" s="1"/>
  <c r="A17" i="6"/>
  <c r="A21" i="6" s="1"/>
  <c r="A23" i="6" s="1"/>
  <c r="A29" i="6" s="1"/>
  <c r="A31" i="6" s="1"/>
  <c r="A32" i="6" s="1"/>
  <c r="A33" i="6" s="1"/>
  <c r="A39" i="6" s="1"/>
  <c r="A41" i="6" s="1"/>
  <c r="A42" i="6" s="1"/>
  <c r="A43" i="6" s="1"/>
  <c r="A44" i="6" s="1"/>
  <c r="A45" i="6" s="1"/>
  <c r="A46" i="6" s="1"/>
  <c r="A47" i="6" s="1"/>
  <c r="A48" i="6" s="1"/>
  <c r="A49" i="6" s="1"/>
  <c r="A50" i="6" s="1"/>
  <c r="A51" i="6" s="1"/>
  <c r="A52" i="6" s="1"/>
  <c r="A53" i="6" s="1"/>
  <c r="A54" i="6" s="1"/>
  <c r="A55" i="6" s="1"/>
  <c r="A56" i="6" s="1"/>
  <c r="A57" i="6" s="1"/>
  <c r="A58" i="6" s="1"/>
  <c r="A59" i="6" s="1"/>
  <c r="A60" i="6" s="1"/>
  <c r="A61" i="6" s="1"/>
  <c r="A62" i="6" s="1"/>
  <c r="K44" i="6"/>
  <c r="E44" i="6" s="1"/>
  <c r="K42" i="6"/>
  <c r="E42" i="6" s="1"/>
  <c r="E65" i="9"/>
  <c r="E64" i="9"/>
  <c r="A15" i="30"/>
  <c r="A25" i="30" s="1"/>
  <c r="A27" i="30" s="1"/>
  <c r="A36" i="30" s="1"/>
  <c r="A55" i="30" s="1"/>
  <c r="A62" i="30" s="1"/>
  <c r="A72" i="30" s="1"/>
  <c r="A73" i="30" s="1"/>
  <c r="A76" i="30" s="1"/>
  <c r="A78" i="30" s="1"/>
  <c r="A87" i="30" s="1"/>
  <c r="A88" i="30" s="1"/>
  <c r="A90" i="30" s="1"/>
  <c r="A91" i="30" s="1"/>
  <c r="A97" i="30" s="1"/>
  <c r="A101" i="30" s="1"/>
  <c r="A111" i="30" s="1"/>
  <c r="A118" i="30" s="1"/>
  <c r="A128" i="30" s="1"/>
  <c r="A136" i="30" s="1"/>
  <c r="A139" i="30" s="1"/>
  <c r="A142" i="30" s="1"/>
  <c r="G215" i="2"/>
  <c r="L215" i="2" s="1"/>
  <c r="A17" i="11"/>
  <c r="A19" i="11" s="1"/>
  <c r="A20" i="11" s="1"/>
  <c r="A21" i="11" s="1"/>
  <c r="A22" i="11" s="1"/>
  <c r="A23" i="11" s="1"/>
  <c r="A25" i="11" s="1"/>
  <c r="A26" i="11" s="1"/>
  <c r="A27" i="11" s="1"/>
  <c r="A28" i="11" s="1"/>
  <c r="A30" i="11" s="1"/>
  <c r="A31" i="11" s="1"/>
  <c r="A33" i="11" s="1"/>
  <c r="A34" i="11" s="1"/>
  <c r="A35" i="11" s="1"/>
  <c r="A36" i="11" s="1"/>
  <c r="A37" i="11" s="1"/>
  <c r="A38" i="11" s="1"/>
  <c r="A39" i="11" s="1"/>
  <c r="A40" i="11" s="1"/>
  <c r="A41" i="11" s="1"/>
  <c r="A42" i="11" s="1"/>
  <c r="A43" i="11" s="1"/>
  <c r="E191" i="2" s="1"/>
  <c r="D32" i="6"/>
  <c r="I50" i="5"/>
  <c r="J29" i="8"/>
  <c r="A4" i="13"/>
  <c r="A4" i="20"/>
  <c r="C60" i="13"/>
  <c r="L180" i="2"/>
  <c r="G167" i="2"/>
  <c r="K33" i="21"/>
  <c r="A22" i="21"/>
  <c r="A27" i="21" s="1"/>
  <c r="A33" i="21" s="1"/>
  <c r="D217" i="2" s="1"/>
  <c r="L175" i="2"/>
  <c r="A6" i="21"/>
  <c r="D12" i="9"/>
  <c r="C32" i="6"/>
  <c r="I12" i="6"/>
  <c r="I10" i="5"/>
  <c r="C9" i="7"/>
  <c r="M23" i="13"/>
  <c r="M20" i="13"/>
  <c r="N8" i="20"/>
  <c r="C11" i="20"/>
  <c r="C14" i="20"/>
  <c r="C18" i="20"/>
  <c r="C26" i="20"/>
  <c r="C32" i="20"/>
  <c r="C42" i="20"/>
  <c r="C43" i="20"/>
  <c r="C53" i="20"/>
  <c r="C55" i="20"/>
  <c r="C58" i="20"/>
  <c r="C60" i="20"/>
  <c r="C62" i="20"/>
  <c r="C65" i="20"/>
  <c r="C66" i="20"/>
  <c r="C68" i="20"/>
  <c r="C69" i="20"/>
  <c r="C71" i="20"/>
  <c r="B6" i="14"/>
  <c r="H249" i="2"/>
  <c r="H250" i="2"/>
  <c r="D68" i="6"/>
  <c r="B66" i="6" s="1"/>
  <c r="G12" i="6"/>
  <c r="G10" i="5"/>
  <c r="B4" i="14"/>
  <c r="O8" i="13"/>
  <c r="P8" i="13"/>
  <c r="C11" i="13"/>
  <c r="C14" i="13"/>
  <c r="C18" i="13"/>
  <c r="C26" i="13"/>
  <c r="C32" i="13"/>
  <c r="C42" i="13"/>
  <c r="C43" i="13"/>
  <c r="C53" i="13"/>
  <c r="C55" i="13"/>
  <c r="C58" i="13"/>
  <c r="C62" i="13"/>
  <c r="C65" i="13"/>
  <c r="C66" i="13"/>
  <c r="C68" i="13"/>
  <c r="C69" i="13"/>
  <c r="C71" i="13"/>
  <c r="A4" i="12"/>
  <c r="A6" i="12"/>
  <c r="E66" i="9"/>
  <c r="A3" i="6"/>
  <c r="A3" i="7" s="1"/>
  <c r="A15" i="8"/>
  <c r="A17" i="8" s="1"/>
  <c r="A19" i="8" s="1"/>
  <c r="A21" i="8" s="1"/>
  <c r="A27" i="8" s="1"/>
  <c r="A29" i="8" s="1"/>
  <c r="A31" i="8" s="1"/>
  <c r="A39" i="8" s="1"/>
  <c r="E12" i="6"/>
  <c r="C31" i="6"/>
  <c r="D38" i="6"/>
  <c r="B36" i="6" s="1"/>
  <c r="E10" i="5"/>
  <c r="A17" i="5"/>
  <c r="F54" i="2"/>
  <c r="F134" i="2" s="1"/>
  <c r="F224" i="2" s="1"/>
  <c r="F277" i="2" s="1"/>
  <c r="F55" i="2"/>
  <c r="F135" i="2" s="1"/>
  <c r="F225" i="2" s="1"/>
  <c r="F278" i="2" s="1"/>
  <c r="F58" i="2"/>
  <c r="F138" i="2" s="1"/>
  <c r="F228" i="2" s="1"/>
  <c r="F281" i="2" s="1"/>
  <c r="B64" i="2"/>
  <c r="B144" i="2" s="1"/>
  <c r="B65" i="2"/>
  <c r="B145" i="2" s="1"/>
  <c r="D80" i="2"/>
  <c r="D94" i="2" s="1"/>
  <c r="D82" i="2"/>
  <c r="D95" i="2" s="1"/>
  <c r="D84" i="2"/>
  <c r="D96" i="2" s="1"/>
  <c r="D86" i="2"/>
  <c r="D97" i="2" s="1"/>
  <c r="D88" i="2"/>
  <c r="D98" i="2" s="1"/>
  <c r="E142" i="2"/>
  <c r="L142" i="2"/>
  <c r="E143" i="2"/>
  <c r="G143" i="2"/>
  <c r="I143" i="2"/>
  <c r="L143" i="2"/>
  <c r="G151" i="2"/>
  <c r="D181" i="2"/>
  <c r="H253" i="2"/>
  <c r="H254" i="2"/>
  <c r="O95" i="39"/>
  <c r="N95" i="39"/>
  <c r="G20" i="38"/>
  <c r="L179" i="2"/>
  <c r="E27" i="30"/>
  <c r="E20" i="11" s="1"/>
  <c r="G20" i="11" s="1"/>
  <c r="F142" i="30"/>
  <c r="G63" i="6"/>
  <c r="G31" i="6" s="1"/>
  <c r="E186" i="38"/>
  <c r="E192" i="38" s="1"/>
  <c r="G19" i="38"/>
  <c r="F23" i="38"/>
  <c r="F186" i="38"/>
  <c r="F192" i="38" s="1"/>
  <c r="O1048" i="13"/>
  <c r="O962" i="13"/>
  <c r="M1048" i="13"/>
  <c r="M962" i="13"/>
  <c r="M963" i="13"/>
  <c r="O963" i="13"/>
  <c r="O964" i="13"/>
  <c r="M964" i="13"/>
  <c r="I28" i="30"/>
  <c r="I62" i="30"/>
  <c r="I96" i="6"/>
  <c r="I32" i="6" s="1"/>
  <c r="K96" i="6"/>
  <c r="K32" i="6" s="1"/>
  <c r="J96" i="6"/>
  <c r="J32" i="6" s="1"/>
  <c r="E96" i="6"/>
  <c r="E32" i="6" s="1"/>
  <c r="J63" i="6"/>
  <c r="J31" i="6" s="1"/>
  <c r="D33" i="9"/>
  <c r="G152" i="2" s="1"/>
  <c r="M1221" i="13"/>
  <c r="O1221" i="13"/>
  <c r="E95" i="39"/>
  <c r="E28" i="11" l="1"/>
  <c r="I28" i="11" s="1"/>
  <c r="I43" i="11" s="1"/>
  <c r="G189" i="2" s="1"/>
  <c r="E76" i="2"/>
  <c r="E75" i="2"/>
  <c r="L80" i="2"/>
  <c r="G91" i="2"/>
  <c r="E33" i="5"/>
  <c r="E35" i="5"/>
  <c r="G43" i="5"/>
  <c r="G41" i="5"/>
  <c r="G272" i="2"/>
  <c r="J272" i="2" s="1"/>
  <c r="E22" i="13" s="1"/>
  <c r="F48" i="13"/>
  <c r="I54" i="49"/>
  <c r="A3" i="8"/>
  <c r="G48" i="20"/>
  <c r="F80" i="35"/>
  <c r="G113" i="2" s="1"/>
  <c r="L113" i="2" s="1"/>
  <c r="E101" i="41"/>
  <c r="K22" i="42"/>
  <c r="K26" i="42"/>
  <c r="N606" i="13"/>
  <c r="M606" i="13"/>
  <c r="K19" i="42"/>
  <c r="K23" i="42"/>
  <c r="K27" i="42"/>
  <c r="N1209" i="13"/>
  <c r="O1209" i="13" s="1"/>
  <c r="C1251" i="13"/>
  <c r="C1252" i="13" s="1"/>
  <c r="C1253" i="13" s="1"/>
  <c r="C1254" i="13" s="1"/>
  <c r="C1255" i="13" s="1"/>
  <c r="C1256" i="13" s="1"/>
  <c r="C1257" i="13" s="1"/>
  <c r="C1258" i="13" s="1"/>
  <c r="C1259" i="13" s="1"/>
  <c r="C1260" i="13" s="1"/>
  <c r="C1261" i="13" s="1"/>
  <c r="C1262" i="13" s="1"/>
  <c r="C1263" i="13" s="1"/>
  <c r="C1264" i="13" s="1"/>
  <c r="C1265" i="13" s="1"/>
  <c r="C1266" i="13" s="1"/>
  <c r="C1267" i="13" s="1"/>
  <c r="C1268" i="13" s="1"/>
  <c r="C1269" i="13" s="1"/>
  <c r="C1270" i="13" s="1"/>
  <c r="C1271" i="13" s="1"/>
  <c r="C1272" i="13" s="1"/>
  <c r="C1273" i="13" s="1"/>
  <c r="C1274" i="13" s="1"/>
  <c r="C1275" i="13" s="1"/>
  <c r="C1276" i="13" s="1"/>
  <c r="C1277" i="13" s="1"/>
  <c r="C1278" i="13" s="1"/>
  <c r="C1279" i="13" s="1"/>
  <c r="C1280" i="13" s="1"/>
  <c r="D21" i="47"/>
  <c r="D22" i="47" s="1"/>
  <c r="D23" i="47" s="1"/>
  <c r="D24" i="47" s="1"/>
  <c r="D25" i="47" s="1"/>
  <c r="D26" i="47" s="1"/>
  <c r="D27" i="47" s="1"/>
  <c r="D28" i="47" s="1"/>
  <c r="D29" i="47" s="1"/>
  <c r="D30" i="47" s="1"/>
  <c r="D31" i="47" s="1"/>
  <c r="D32" i="47" s="1"/>
  <c r="K20" i="42"/>
  <c r="K24" i="42"/>
  <c r="I54" i="32"/>
  <c r="E100" i="41"/>
  <c r="K21" i="42"/>
  <c r="K25" i="42"/>
  <c r="C992" i="13"/>
  <c r="C993" i="13" s="1"/>
  <c r="C994" i="13" s="1"/>
  <c r="C995" i="13" s="1"/>
  <c r="C996" i="13" s="1"/>
  <c r="C997" i="13" s="1"/>
  <c r="C998" i="13" s="1"/>
  <c r="C999" i="13" s="1"/>
  <c r="C1000" i="13" s="1"/>
  <c r="C1001" i="13" s="1"/>
  <c r="C1002" i="13" s="1"/>
  <c r="C1003" i="13" s="1"/>
  <c r="C1004" i="13" s="1"/>
  <c r="C1005" i="13" s="1"/>
  <c r="C1006" i="13" s="1"/>
  <c r="C1007" i="13" s="1"/>
  <c r="C1008" i="13" s="1"/>
  <c r="C1009" i="13" s="1"/>
  <c r="C1010" i="13" s="1"/>
  <c r="C1011" i="13" s="1"/>
  <c r="C1012" i="13" s="1"/>
  <c r="C1013" i="13" s="1"/>
  <c r="C1014" i="13" s="1"/>
  <c r="C1015" i="13" s="1"/>
  <c r="C1016" i="13" s="1"/>
  <c r="C1017" i="13" s="1"/>
  <c r="C1018" i="13" s="1"/>
  <c r="C1019" i="13" s="1"/>
  <c r="C1020" i="13" s="1"/>
  <c r="C1021" i="13" s="1"/>
  <c r="M950" i="13"/>
  <c r="N950" i="13"/>
  <c r="C304" i="13"/>
  <c r="C305" i="13" s="1"/>
  <c r="C306" i="13" s="1"/>
  <c r="C307" i="13" s="1"/>
  <c r="C308" i="13" s="1"/>
  <c r="C309" i="13" s="1"/>
  <c r="C310" i="13" s="1"/>
  <c r="C311" i="13" s="1"/>
  <c r="C312" i="13" s="1"/>
  <c r="C313" i="13" s="1"/>
  <c r="C314" i="13" s="1"/>
  <c r="C315" i="13" s="1"/>
  <c r="C316" i="13" s="1"/>
  <c r="C317" i="13" s="1"/>
  <c r="C318" i="13" s="1"/>
  <c r="C319" i="13" s="1"/>
  <c r="C320" i="13" s="1"/>
  <c r="C321" i="13" s="1"/>
  <c r="C322" i="13" s="1"/>
  <c r="C323" i="13" s="1"/>
  <c r="C324" i="13" s="1"/>
  <c r="C325" i="13" s="1"/>
  <c r="C326" i="13" s="1"/>
  <c r="C327" i="13" s="1"/>
  <c r="C328" i="13" s="1"/>
  <c r="C329" i="13" s="1"/>
  <c r="C330" i="13" s="1"/>
  <c r="C331" i="13" s="1"/>
  <c r="C332" i="13" s="1"/>
  <c r="C333" i="13" s="1"/>
  <c r="N262" i="13"/>
  <c r="M262" i="13"/>
  <c r="A23" i="7"/>
  <c r="B23" i="7"/>
  <c r="E66" i="2"/>
  <c r="E72" i="2"/>
  <c r="E74" i="2"/>
  <c r="M1122" i="13"/>
  <c r="N1122" i="13"/>
  <c r="C1164" i="13"/>
  <c r="C1165" i="13" s="1"/>
  <c r="C1166" i="13" s="1"/>
  <c r="C1167" i="13" s="1"/>
  <c r="C1168" i="13" s="1"/>
  <c r="C1169" i="13" s="1"/>
  <c r="C1170" i="13" s="1"/>
  <c r="C1171" i="13" s="1"/>
  <c r="C1172" i="13" s="1"/>
  <c r="C1173" i="13" s="1"/>
  <c r="C1174" i="13" s="1"/>
  <c r="C1175" i="13" s="1"/>
  <c r="C1176" i="13" s="1"/>
  <c r="C1177" i="13" s="1"/>
  <c r="C1178" i="13" s="1"/>
  <c r="C1179" i="13" s="1"/>
  <c r="C1180" i="13" s="1"/>
  <c r="C1181" i="13" s="1"/>
  <c r="C1182" i="13" s="1"/>
  <c r="C1183" i="13" s="1"/>
  <c r="C1184" i="13" s="1"/>
  <c r="C1185" i="13" s="1"/>
  <c r="C1186" i="13" s="1"/>
  <c r="C1187" i="13" s="1"/>
  <c r="C1188" i="13" s="1"/>
  <c r="C1189" i="13" s="1"/>
  <c r="C1190" i="13" s="1"/>
  <c r="C1191" i="13" s="1"/>
  <c r="C1192" i="13" s="1"/>
  <c r="C1193" i="13" s="1"/>
  <c r="A84" i="35"/>
  <c r="E113" i="2"/>
  <c r="N348" i="13"/>
  <c r="C390" i="13"/>
  <c r="C391" i="13" s="1"/>
  <c r="C392" i="13" s="1"/>
  <c r="C393" i="13" s="1"/>
  <c r="C394" i="13" s="1"/>
  <c r="C395" i="13" s="1"/>
  <c r="C396" i="13" s="1"/>
  <c r="C397" i="13" s="1"/>
  <c r="C398" i="13" s="1"/>
  <c r="C399" i="13" s="1"/>
  <c r="C400" i="13" s="1"/>
  <c r="C401" i="13" s="1"/>
  <c r="C402" i="13" s="1"/>
  <c r="C403" i="13" s="1"/>
  <c r="C404" i="13" s="1"/>
  <c r="C405" i="13" s="1"/>
  <c r="C406" i="13" s="1"/>
  <c r="C407" i="13" s="1"/>
  <c r="C408" i="13" s="1"/>
  <c r="C409" i="13" s="1"/>
  <c r="C410" i="13" s="1"/>
  <c r="C411" i="13" s="1"/>
  <c r="C412" i="13" s="1"/>
  <c r="C413" i="13" s="1"/>
  <c r="C414" i="13" s="1"/>
  <c r="C415" i="13" s="1"/>
  <c r="C416" i="13" s="1"/>
  <c r="C417" i="13" s="1"/>
  <c r="C418" i="13" s="1"/>
  <c r="C419" i="13" s="1"/>
  <c r="C734" i="13"/>
  <c r="C735" i="13" s="1"/>
  <c r="C736" i="13" s="1"/>
  <c r="C737" i="13" s="1"/>
  <c r="C738" i="13" s="1"/>
  <c r="C739" i="13" s="1"/>
  <c r="C740" i="13" s="1"/>
  <c r="C741" i="13" s="1"/>
  <c r="C742" i="13" s="1"/>
  <c r="C743" i="13" s="1"/>
  <c r="C744" i="13" s="1"/>
  <c r="C745" i="13" s="1"/>
  <c r="C746" i="13" s="1"/>
  <c r="C747" i="13" s="1"/>
  <c r="C748" i="13" s="1"/>
  <c r="C749" i="13" s="1"/>
  <c r="C750" i="13" s="1"/>
  <c r="C751" i="13" s="1"/>
  <c r="C752" i="13" s="1"/>
  <c r="C753" i="13" s="1"/>
  <c r="C754" i="13" s="1"/>
  <c r="C755" i="13" s="1"/>
  <c r="C756" i="13" s="1"/>
  <c r="C757" i="13" s="1"/>
  <c r="C758" i="13" s="1"/>
  <c r="C759" i="13" s="1"/>
  <c r="C760" i="13" s="1"/>
  <c r="C761" i="13" s="1"/>
  <c r="C762" i="13" s="1"/>
  <c r="C763" i="13" s="1"/>
  <c r="M692" i="13"/>
  <c r="N692" i="13"/>
  <c r="M778" i="13"/>
  <c r="N778" i="13"/>
  <c r="C820" i="13"/>
  <c r="C821" i="13" s="1"/>
  <c r="C822" i="13" s="1"/>
  <c r="C823" i="13" s="1"/>
  <c r="C824" i="13" s="1"/>
  <c r="C825" i="13" s="1"/>
  <c r="C826" i="13" s="1"/>
  <c r="C827" i="13" s="1"/>
  <c r="C828" i="13" s="1"/>
  <c r="C829" i="13" s="1"/>
  <c r="C830" i="13" s="1"/>
  <c r="C831" i="13" s="1"/>
  <c r="C832" i="13" s="1"/>
  <c r="C833" i="13" s="1"/>
  <c r="C834" i="13" s="1"/>
  <c r="C835" i="13" s="1"/>
  <c r="C836" i="13" s="1"/>
  <c r="C837" i="13" s="1"/>
  <c r="C838" i="13" s="1"/>
  <c r="C839" i="13" s="1"/>
  <c r="C840" i="13" s="1"/>
  <c r="C841" i="13" s="1"/>
  <c r="C842" i="13" s="1"/>
  <c r="C843" i="13" s="1"/>
  <c r="C844" i="13" s="1"/>
  <c r="C845" i="13" s="1"/>
  <c r="C846" i="13" s="1"/>
  <c r="C847" i="13" s="1"/>
  <c r="C848" i="13" s="1"/>
  <c r="C849" i="13" s="1"/>
  <c r="C1078" i="13"/>
  <c r="C1079" i="13" s="1"/>
  <c r="C1080" i="13" s="1"/>
  <c r="C1081" i="13" s="1"/>
  <c r="C1082" i="13" s="1"/>
  <c r="C1083" i="13" s="1"/>
  <c r="C1084" i="13" s="1"/>
  <c r="C1085" i="13" s="1"/>
  <c r="C1086" i="13" s="1"/>
  <c r="C1087" i="13" s="1"/>
  <c r="C1088" i="13" s="1"/>
  <c r="C1089" i="13" s="1"/>
  <c r="C1090" i="13" s="1"/>
  <c r="C1091" i="13" s="1"/>
  <c r="C1092" i="13" s="1"/>
  <c r="C1093" i="13" s="1"/>
  <c r="C1094" i="13" s="1"/>
  <c r="C1095" i="13" s="1"/>
  <c r="C1096" i="13" s="1"/>
  <c r="C1097" i="13" s="1"/>
  <c r="C1098" i="13" s="1"/>
  <c r="C1099" i="13" s="1"/>
  <c r="C1100" i="13" s="1"/>
  <c r="C1101" i="13" s="1"/>
  <c r="C1102" i="13" s="1"/>
  <c r="C1103" i="13" s="1"/>
  <c r="C1104" i="13" s="1"/>
  <c r="C1105" i="13" s="1"/>
  <c r="C1106" i="13" s="1"/>
  <c r="C1107" i="13" s="1"/>
  <c r="N1036" i="13"/>
  <c r="C476" i="13"/>
  <c r="C477" i="13" s="1"/>
  <c r="C478" i="13" s="1"/>
  <c r="C479" i="13" s="1"/>
  <c r="C480" i="13" s="1"/>
  <c r="C481" i="13" s="1"/>
  <c r="C482" i="13" s="1"/>
  <c r="C483" i="13" s="1"/>
  <c r="C484" i="13" s="1"/>
  <c r="C485" i="13" s="1"/>
  <c r="C486" i="13" s="1"/>
  <c r="C487" i="13" s="1"/>
  <c r="C488" i="13" s="1"/>
  <c r="C489" i="13" s="1"/>
  <c r="C490" i="13" s="1"/>
  <c r="C491" i="13" s="1"/>
  <c r="C492" i="13" s="1"/>
  <c r="C493" i="13" s="1"/>
  <c r="C494" i="13" s="1"/>
  <c r="C495" i="13" s="1"/>
  <c r="C496" i="13" s="1"/>
  <c r="C497" i="13" s="1"/>
  <c r="C498" i="13" s="1"/>
  <c r="C499" i="13" s="1"/>
  <c r="C500" i="13" s="1"/>
  <c r="C501" i="13" s="1"/>
  <c r="C502" i="13" s="1"/>
  <c r="C503" i="13" s="1"/>
  <c r="C504" i="13" s="1"/>
  <c r="C505" i="13" s="1"/>
  <c r="M434" i="13"/>
  <c r="N434" i="13"/>
  <c r="M864" i="13"/>
  <c r="C906" i="13"/>
  <c r="C907" i="13" s="1"/>
  <c r="C908" i="13" s="1"/>
  <c r="C909" i="13" s="1"/>
  <c r="C910" i="13" s="1"/>
  <c r="C911" i="13" s="1"/>
  <c r="C912" i="13" s="1"/>
  <c r="C913" i="13" s="1"/>
  <c r="C914" i="13" s="1"/>
  <c r="C915" i="13" s="1"/>
  <c r="C916" i="13" s="1"/>
  <c r="C917" i="13" s="1"/>
  <c r="C918" i="13" s="1"/>
  <c r="C919" i="13" s="1"/>
  <c r="C920" i="13" s="1"/>
  <c r="C921" i="13" s="1"/>
  <c r="C922" i="13" s="1"/>
  <c r="C923" i="13" s="1"/>
  <c r="C924" i="13" s="1"/>
  <c r="C925" i="13" s="1"/>
  <c r="C926" i="13" s="1"/>
  <c r="C927" i="13" s="1"/>
  <c r="C928" i="13" s="1"/>
  <c r="C929" i="13" s="1"/>
  <c r="C930" i="13" s="1"/>
  <c r="C931" i="13" s="1"/>
  <c r="C932" i="13" s="1"/>
  <c r="C933" i="13" s="1"/>
  <c r="C934" i="13" s="1"/>
  <c r="C935" i="13" s="1"/>
  <c r="N864" i="13"/>
  <c r="D104" i="41"/>
  <c r="M520" i="13"/>
  <c r="O520" i="13" s="1"/>
  <c r="D103" i="41"/>
  <c r="D105" i="41" s="1"/>
  <c r="S22" i="21"/>
  <c r="C562" i="13"/>
  <c r="C563" i="13" s="1"/>
  <c r="C564" i="13" s="1"/>
  <c r="C565" i="13" s="1"/>
  <c r="C566" i="13" s="1"/>
  <c r="C567" i="13" s="1"/>
  <c r="C568" i="13" s="1"/>
  <c r="C569" i="13" s="1"/>
  <c r="C570" i="13" s="1"/>
  <c r="C571" i="13" s="1"/>
  <c r="C572" i="13" s="1"/>
  <c r="C573" i="13" s="1"/>
  <c r="C574" i="13" s="1"/>
  <c r="C575" i="13" s="1"/>
  <c r="C576" i="13" s="1"/>
  <c r="C577" i="13" s="1"/>
  <c r="C578" i="13" s="1"/>
  <c r="C579" i="13" s="1"/>
  <c r="C580" i="13" s="1"/>
  <c r="C581" i="13" s="1"/>
  <c r="C582" i="13" s="1"/>
  <c r="C583" i="13" s="1"/>
  <c r="C584" i="13" s="1"/>
  <c r="C585" i="13" s="1"/>
  <c r="C586" i="13" s="1"/>
  <c r="C587" i="13" s="1"/>
  <c r="C588" i="13" s="1"/>
  <c r="C589" i="13" s="1"/>
  <c r="C590" i="13" s="1"/>
  <c r="C591" i="13" s="1"/>
  <c r="G42" i="5"/>
  <c r="C648" i="13"/>
  <c r="C649" i="13" s="1"/>
  <c r="C650" i="13" s="1"/>
  <c r="C651" i="13" s="1"/>
  <c r="C652" i="13" s="1"/>
  <c r="C653" i="13" s="1"/>
  <c r="C654" i="13" s="1"/>
  <c r="C655" i="13" s="1"/>
  <c r="C656" i="13" s="1"/>
  <c r="C657" i="13" s="1"/>
  <c r="C658" i="13" s="1"/>
  <c r="C659" i="13" s="1"/>
  <c r="C660" i="13" s="1"/>
  <c r="C661" i="13" s="1"/>
  <c r="C662" i="13" s="1"/>
  <c r="C663" i="13" s="1"/>
  <c r="C664" i="13" s="1"/>
  <c r="C665" i="13" s="1"/>
  <c r="C666" i="13" s="1"/>
  <c r="C667" i="13" s="1"/>
  <c r="C668" i="13" s="1"/>
  <c r="C669" i="13" s="1"/>
  <c r="C670" i="13" s="1"/>
  <c r="C671" i="13" s="1"/>
  <c r="C672" i="13" s="1"/>
  <c r="C673" i="13" s="1"/>
  <c r="C674" i="13" s="1"/>
  <c r="C675" i="13" s="1"/>
  <c r="C676" i="13" s="1"/>
  <c r="C677" i="13" s="1"/>
  <c r="B15" i="2"/>
  <c r="B18" i="2" s="1"/>
  <c r="B20" i="2" s="1"/>
  <c r="B27" i="2" s="1"/>
  <c r="B29" i="2" s="1"/>
  <c r="B30" i="2" s="1"/>
  <c r="B31" i="2" s="1"/>
  <c r="B33" i="2" s="1"/>
  <c r="B34" i="2" s="1"/>
  <c r="C47" i="13"/>
  <c r="E111" i="2"/>
  <c r="D64" i="35"/>
  <c r="L82" i="2" s="1"/>
  <c r="E266" i="2"/>
  <c r="E267" i="2"/>
  <c r="A193" i="38"/>
  <c r="D34" i="5" s="1"/>
  <c r="D35" i="5"/>
  <c r="G203" i="38"/>
  <c r="A190" i="38"/>
  <c r="E49" i="5"/>
  <c r="E51" i="5" s="1"/>
  <c r="E34" i="5"/>
  <c r="I34" i="5" s="1"/>
  <c r="D23" i="38"/>
  <c r="G21" i="38"/>
  <c r="I63" i="6"/>
  <c r="I31" i="6" s="1"/>
  <c r="I33" i="6" s="1"/>
  <c r="G124" i="2" s="1"/>
  <c r="F88" i="35"/>
  <c r="G115" i="2" s="1"/>
  <c r="G97" i="2"/>
  <c r="K48" i="11" s="1"/>
  <c r="K51" i="11" s="1"/>
  <c r="K53" i="11" s="1"/>
  <c r="K55" i="11" s="1"/>
  <c r="G155" i="2"/>
  <c r="G118" i="2" s="1"/>
  <c r="J27" i="8"/>
  <c r="J31" i="8" s="1"/>
  <c r="G26" i="5"/>
  <c r="E42" i="5"/>
  <c r="F22" i="47"/>
  <c r="G204" i="38"/>
  <c r="C206" i="38"/>
  <c r="K206" i="38"/>
  <c r="G49" i="5"/>
  <c r="G51" i="5" s="1"/>
  <c r="E38" i="11"/>
  <c r="K38" i="11" s="1"/>
  <c r="K43" i="11" s="1"/>
  <c r="G193" i="2" s="1"/>
  <c r="G43" i="11"/>
  <c r="G191" i="2" s="1"/>
  <c r="M43" i="11"/>
  <c r="G192" i="2" s="1"/>
  <c r="L192" i="2" s="1"/>
  <c r="E25" i="30"/>
  <c r="G189" i="38"/>
  <c r="H42" i="41"/>
  <c r="G271" i="2" s="1"/>
  <c r="F355" i="2"/>
  <c r="G197" i="2" s="1"/>
  <c r="G98" i="2"/>
  <c r="L96" i="2"/>
  <c r="G95" i="2"/>
  <c r="G48" i="11" s="1"/>
  <c r="G51" i="11" s="1"/>
  <c r="L234" i="2"/>
  <c r="I206" i="38"/>
  <c r="I52" i="5"/>
  <c r="L108" i="2" s="1"/>
  <c r="J206" i="38"/>
  <c r="E26" i="5"/>
  <c r="J186" i="38"/>
  <c r="J192" i="38" s="1"/>
  <c r="K186" i="38"/>
  <c r="K192" i="38" s="1"/>
  <c r="D186" i="38"/>
  <c r="D192" i="38" s="1"/>
  <c r="J61" i="38"/>
  <c r="C23" i="38"/>
  <c r="C186" i="38"/>
  <c r="C192" i="38" s="1"/>
  <c r="G17" i="38"/>
  <c r="C95" i="39"/>
  <c r="P1271" i="13"/>
  <c r="P1273" i="13"/>
  <c r="P1233" i="13"/>
  <c r="P1241" i="13"/>
  <c r="P1230" i="13"/>
  <c r="P1232" i="13"/>
  <c r="P1254" i="13"/>
  <c r="P1262" i="13"/>
  <c r="P1266" i="13"/>
  <c r="P1268" i="13"/>
  <c r="P1272" i="13"/>
  <c r="P1276" i="13"/>
  <c r="P1021" i="13"/>
  <c r="P1167" i="13"/>
  <c r="P1173" i="13"/>
  <c r="P1275" i="13"/>
  <c r="A69" i="6"/>
  <c r="A71" i="6" s="1"/>
  <c r="A72" i="6" s="1"/>
  <c r="A73" i="6" s="1"/>
  <c r="A74" i="6" s="1"/>
  <c r="A75" i="6" s="1"/>
  <c r="A76" i="6" s="1"/>
  <c r="A77" i="6" s="1"/>
  <c r="A78" i="6" s="1"/>
  <c r="A79" i="6" s="1"/>
  <c r="A80" i="6" s="1"/>
  <c r="A81" i="6" s="1"/>
  <c r="A82" i="6" s="1"/>
  <c r="A83" i="6" s="1"/>
  <c r="A84" i="6" s="1"/>
  <c r="A85" i="6" s="1"/>
  <c r="A86" i="6" s="1"/>
  <c r="A87" i="6" s="1"/>
  <c r="A88" i="6" s="1"/>
  <c r="A89" i="6" s="1"/>
  <c r="A90" i="6" s="1"/>
  <c r="A91" i="6" s="1"/>
  <c r="A92" i="6" s="1"/>
  <c r="A93" i="6" s="1"/>
  <c r="D33" i="6"/>
  <c r="P1265" i="13"/>
  <c r="E63" i="6"/>
  <c r="E31" i="6" s="1"/>
  <c r="E33" i="6" s="1"/>
  <c r="G126" i="2" s="1"/>
  <c r="L126" i="2" s="1"/>
  <c r="P475" i="13"/>
  <c r="P493" i="13"/>
  <c r="P547" i="13"/>
  <c r="P551" i="13"/>
  <c r="P553" i="13"/>
  <c r="P563" i="13"/>
  <c r="P745" i="13"/>
  <c r="P834" i="13"/>
  <c r="P1086" i="13"/>
  <c r="P1148" i="13"/>
  <c r="P1190" i="13"/>
  <c r="P559" i="13"/>
  <c r="P585" i="13"/>
  <c r="P731" i="13"/>
  <c r="P1105" i="13"/>
  <c r="P1155" i="13"/>
  <c r="P1159" i="13"/>
  <c r="P1161" i="13"/>
  <c r="P1243" i="13"/>
  <c r="P1251" i="13"/>
  <c r="P485" i="13"/>
  <c r="P565" i="13"/>
  <c r="P719" i="13"/>
  <c r="P737" i="13"/>
  <c r="P757" i="13"/>
  <c r="P822" i="13"/>
  <c r="P844" i="13"/>
  <c r="P848" i="13"/>
  <c r="P988" i="13"/>
  <c r="P1092" i="13"/>
  <c r="P1094" i="13"/>
  <c r="P1096" i="13"/>
  <c r="P1102" i="13"/>
  <c r="P1106" i="13"/>
  <c r="P1182" i="13"/>
  <c r="P1184" i="13"/>
  <c r="P1192" i="13"/>
  <c r="P205" i="13"/>
  <c r="P209" i="13"/>
  <c r="P213" i="13"/>
  <c r="P217" i="13"/>
  <c r="P219" i="13"/>
  <c r="P229" i="13"/>
  <c r="P237" i="13"/>
  <c r="P299" i="13"/>
  <c r="P305" i="13"/>
  <c r="P373" i="13"/>
  <c r="P377" i="13"/>
  <c r="P381" i="13"/>
  <c r="P383" i="13"/>
  <c r="P385" i="13"/>
  <c r="P637" i="13"/>
  <c r="P639" i="13"/>
  <c r="P641" i="13"/>
  <c r="P643" i="13"/>
  <c r="P655" i="13"/>
  <c r="P665" i="13"/>
  <c r="P667" i="13"/>
  <c r="P671" i="13"/>
  <c r="P809" i="13"/>
  <c r="P811" i="13"/>
  <c r="P896" i="13"/>
  <c r="P914" i="13"/>
  <c r="P924" i="13"/>
  <c r="P926" i="13"/>
  <c r="P928" i="13"/>
  <c r="P930" i="13"/>
  <c r="P932" i="13"/>
  <c r="P981" i="13"/>
  <c r="P997" i="13"/>
  <c r="P1001" i="13"/>
  <c r="P1003" i="13"/>
  <c r="P1005" i="13"/>
  <c r="P1011" i="13"/>
  <c r="P1017" i="13"/>
  <c r="P1057" i="13"/>
  <c r="P1059" i="13"/>
  <c r="P1061" i="13"/>
  <c r="P1063" i="13"/>
  <c r="P1065" i="13"/>
  <c r="P1067" i="13"/>
  <c r="P1071" i="13"/>
  <c r="P1083" i="13"/>
  <c r="P1085" i="13"/>
  <c r="P1101" i="13"/>
  <c r="P1151" i="13"/>
  <c r="K63" i="6"/>
  <c r="K31" i="6" s="1"/>
  <c r="K33" i="6" s="1"/>
  <c r="P911" i="13"/>
  <c r="P481" i="13"/>
  <c r="P487" i="13"/>
  <c r="P503" i="13"/>
  <c r="P505" i="13"/>
  <c r="P543" i="13"/>
  <c r="P557" i="13"/>
  <c r="P571" i="13"/>
  <c r="P587" i="13"/>
  <c r="P715" i="13"/>
  <c r="P717" i="13"/>
  <c r="P733" i="13"/>
  <c r="P820" i="13"/>
  <c r="P828" i="13"/>
  <c r="P832" i="13"/>
  <c r="P836" i="13"/>
  <c r="P846" i="13"/>
  <c r="P974" i="13"/>
  <c r="P982" i="13"/>
  <c r="P990" i="13"/>
  <c r="P992" i="13"/>
  <c r="P994" i="13"/>
  <c r="P1004" i="13"/>
  <c r="P1082" i="13"/>
  <c r="P1090" i="13"/>
  <c r="P1098" i="13"/>
  <c r="P1144" i="13"/>
  <c r="P1160" i="13"/>
  <c r="P1164" i="13"/>
  <c r="P1168" i="13"/>
  <c r="P1170" i="13"/>
  <c r="P1176" i="13"/>
  <c r="P1186" i="13"/>
  <c r="P1188" i="13"/>
  <c r="P1237" i="13"/>
  <c r="P1247" i="13"/>
  <c r="P1259" i="13"/>
  <c r="P222" i="13"/>
  <c r="P296" i="13"/>
  <c r="P306" i="13"/>
  <c r="P308" i="13"/>
  <c r="P312" i="13"/>
  <c r="P314" i="13"/>
  <c r="P316" i="13"/>
  <c r="P320" i="13"/>
  <c r="P322" i="13"/>
  <c r="P324" i="13"/>
  <c r="P328" i="13"/>
  <c r="P330" i="13"/>
  <c r="P372" i="13"/>
  <c r="P390" i="13"/>
  <c r="P394" i="13"/>
  <c r="P402" i="13"/>
  <c r="P404" i="13"/>
  <c r="P406" i="13"/>
  <c r="P408" i="13"/>
  <c r="P410" i="13"/>
  <c r="P414" i="13"/>
  <c r="P416" i="13"/>
  <c r="P418" i="13"/>
  <c r="P628" i="13"/>
  <c r="P630" i="13"/>
  <c r="P632" i="13"/>
  <c r="P660" i="13"/>
  <c r="P666" i="13"/>
  <c r="P672" i="13"/>
  <c r="P674" i="13"/>
  <c r="P887" i="13"/>
  <c r="P913" i="13"/>
  <c r="P915" i="13"/>
  <c r="P917" i="13"/>
  <c r="P919" i="13"/>
  <c r="P923" i="13"/>
  <c r="P457" i="13"/>
  <c r="P463" i="13"/>
  <c r="P549" i="13"/>
  <c r="P1279" i="13"/>
  <c r="P586" i="13"/>
  <c r="P147" i="13"/>
  <c r="P145" i="13"/>
  <c r="P125" i="13"/>
  <c r="P1172" i="13"/>
  <c r="P160" i="13"/>
  <c r="P158" i="13"/>
  <c r="P150" i="13"/>
  <c r="P144" i="13"/>
  <c r="P142" i="13"/>
  <c r="P140" i="13"/>
  <c r="P138" i="13"/>
  <c r="P134" i="13"/>
  <c r="P126" i="13"/>
  <c r="P102" i="13"/>
  <c r="P468" i="13"/>
  <c r="P474" i="13"/>
  <c r="P555" i="13"/>
  <c r="P567" i="13"/>
  <c r="P569" i="13"/>
  <c r="P577" i="13"/>
  <c r="P579" i="13"/>
  <c r="P581" i="13"/>
  <c r="P761" i="13"/>
  <c r="P814" i="13"/>
  <c r="P824" i="13"/>
  <c r="P826" i="13"/>
  <c r="P458" i="13"/>
  <c r="P460" i="13"/>
  <c r="P464" i="13"/>
  <c r="P470" i="13"/>
  <c r="P472" i="13"/>
  <c r="P476" i="13"/>
  <c r="P478" i="13"/>
  <c r="P480" i="13"/>
  <c r="P482" i="13"/>
  <c r="P484" i="13"/>
  <c r="P492" i="13"/>
  <c r="P496" i="13"/>
  <c r="P498" i="13"/>
  <c r="P500" i="13"/>
  <c r="P502" i="13"/>
  <c r="P542" i="13"/>
  <c r="P544" i="13"/>
  <c r="P546" i="13"/>
  <c r="P752" i="13"/>
  <c r="P756" i="13"/>
  <c r="P762" i="13"/>
  <c r="P803" i="13"/>
  <c r="P805" i="13"/>
  <c r="P807" i="13"/>
  <c r="P813" i="13"/>
  <c r="P817" i="13"/>
  <c r="P819" i="13"/>
  <c r="P821" i="13"/>
  <c r="P823" i="13"/>
  <c r="P825" i="13"/>
  <c r="P829" i="13"/>
  <c r="P490" i="13"/>
  <c r="P927" i="13"/>
  <c r="P931" i="13"/>
  <c r="P933" i="13"/>
  <c r="P935" i="13"/>
  <c r="P488" i="13"/>
  <c r="P1221" i="13"/>
  <c r="P159" i="13"/>
  <c r="P153" i="13"/>
  <c r="P151" i="13"/>
  <c r="P143" i="13"/>
  <c r="P139" i="13"/>
  <c r="P137" i="13"/>
  <c r="P135" i="13"/>
  <c r="P133" i="13"/>
  <c r="P131" i="13"/>
  <c r="P129" i="13"/>
  <c r="P123" i="13"/>
  <c r="P211" i="13"/>
  <c r="P419" i="13"/>
  <c r="P633" i="13"/>
  <c r="P188" i="13"/>
  <c r="P204" i="13"/>
  <c r="P206" i="13"/>
  <c r="P220" i="13"/>
  <c r="P224" i="13"/>
  <c r="P226" i="13"/>
  <c r="P230" i="13"/>
  <c r="P232" i="13"/>
  <c r="P234" i="13"/>
  <c r="P238" i="13"/>
  <c r="P240" i="13"/>
  <c r="P246" i="13"/>
  <c r="P286" i="13"/>
  <c r="P288" i="13"/>
  <c r="P290" i="13"/>
  <c r="P292" i="13"/>
  <c r="P842" i="13"/>
  <c r="P891" i="13"/>
  <c r="P893" i="13"/>
  <c r="P995" i="13"/>
  <c r="P1019" i="13"/>
  <c r="P1069" i="13"/>
  <c r="P1073" i="13"/>
  <c r="P1077" i="13"/>
  <c r="P1079" i="13"/>
  <c r="P1081" i="13"/>
  <c r="P1153" i="13"/>
  <c r="P1171" i="13"/>
  <c r="P1175" i="13"/>
  <c r="P1177" i="13"/>
  <c r="P1179" i="13"/>
  <c r="P1181" i="13"/>
  <c r="P1183" i="13"/>
  <c r="P1185" i="13"/>
  <c r="P1187" i="13"/>
  <c r="P1191" i="13"/>
  <c r="P1248" i="13"/>
  <c r="P1252" i="13"/>
  <c r="P1256" i="13"/>
  <c r="P1258" i="13"/>
  <c r="P1048" i="13"/>
  <c r="P588" i="13"/>
  <c r="P831" i="13"/>
  <c r="P835" i="13"/>
  <c r="P886" i="13"/>
  <c r="P888" i="13"/>
  <c r="P890" i="13"/>
  <c r="P892" i="13"/>
  <c r="P894" i="13"/>
  <c r="P898" i="13"/>
  <c r="P902" i="13"/>
  <c r="P904" i="13"/>
  <c r="P906" i="13"/>
  <c r="P918" i="13"/>
  <c r="P920" i="13"/>
  <c r="P984" i="13"/>
  <c r="P1076" i="13"/>
  <c r="P1078" i="13"/>
  <c r="P1080" i="13"/>
  <c r="P1084" i="13"/>
  <c r="P1142" i="13"/>
  <c r="P1146" i="13"/>
  <c r="P1150" i="13"/>
  <c r="P1156" i="13"/>
  <c r="P1162" i="13"/>
  <c r="P1245" i="13"/>
  <c r="P1249" i="13"/>
  <c r="P1253" i="13"/>
  <c r="P1263" i="13"/>
  <c r="P583" i="13"/>
  <c r="P753" i="13"/>
  <c r="P895" i="13"/>
  <c r="P962" i="13"/>
  <c r="P548" i="13"/>
  <c r="P718" i="13"/>
  <c r="P720" i="13"/>
  <c r="P722" i="13"/>
  <c r="P724" i="13"/>
  <c r="P726" i="13"/>
  <c r="P728" i="13"/>
  <c r="P732" i="13"/>
  <c r="P734" i="13"/>
  <c r="P736" i="13"/>
  <c r="P742" i="13"/>
  <c r="P744" i="13"/>
  <c r="P746" i="13"/>
  <c r="P748" i="13"/>
  <c r="P827" i="13"/>
  <c r="P922" i="13"/>
  <c r="P1255" i="13"/>
  <c r="P154" i="13"/>
  <c r="P152" i="13"/>
  <c r="P124" i="13"/>
  <c r="P120" i="13"/>
  <c r="P983" i="13"/>
  <c r="P203" i="13"/>
  <c r="P207" i="13"/>
  <c r="P223" i="13"/>
  <c r="P225" i="13"/>
  <c r="P227" i="13"/>
  <c r="P231" i="13"/>
  <c r="P233" i="13"/>
  <c r="P235" i="13"/>
  <c r="P241" i="13"/>
  <c r="P243" i="13"/>
  <c r="P245" i="13"/>
  <c r="P247" i="13"/>
  <c r="P287" i="13"/>
  <c r="P289" i="13"/>
  <c r="P291" i="13"/>
  <c r="P293" i="13"/>
  <c r="P161" i="13"/>
  <c r="P210" i="13"/>
  <c r="P214" i="13"/>
  <c r="P218" i="13"/>
  <c r="P244" i="13"/>
  <c r="P1014" i="13"/>
  <c r="P294" i="13"/>
  <c r="P298" i="13"/>
  <c r="P300" i="13"/>
  <c r="P302" i="13"/>
  <c r="P304" i="13"/>
  <c r="P318" i="13"/>
  <c r="P326" i="13"/>
  <c r="P374" i="13"/>
  <c r="P380" i="13"/>
  <c r="P382" i="13"/>
  <c r="P384" i="13"/>
  <c r="P388" i="13"/>
  <c r="P467" i="13"/>
  <c r="P479" i="13"/>
  <c r="P483" i="13"/>
  <c r="P491" i="13"/>
  <c r="P499" i="13"/>
  <c r="P590" i="13"/>
  <c r="P635" i="13"/>
  <c r="P647" i="13"/>
  <c r="P649" i="13"/>
  <c r="P651" i="13"/>
  <c r="P653" i="13"/>
  <c r="P657" i="13"/>
  <c r="P659" i="13"/>
  <c r="P663" i="13"/>
  <c r="P675" i="13"/>
  <c r="P677" i="13"/>
  <c r="P750" i="13"/>
  <c r="P760" i="13"/>
  <c r="P838" i="13"/>
  <c r="P901" i="13"/>
  <c r="P903" i="13"/>
  <c r="P909" i="13"/>
  <c r="P975" i="13"/>
  <c r="P979" i="13"/>
  <c r="P985" i="13"/>
  <c r="P989" i="13"/>
  <c r="P991" i="13"/>
  <c r="P993" i="13"/>
  <c r="P996" i="13"/>
  <c r="P998" i="13"/>
  <c r="P1002" i="13"/>
  <c r="P1006" i="13"/>
  <c r="P1012" i="13"/>
  <c r="P1016" i="13"/>
  <c r="P1020" i="13"/>
  <c r="P1060" i="13"/>
  <c r="P1062" i="13"/>
  <c r="P1064" i="13"/>
  <c r="P1068" i="13"/>
  <c r="P1070" i="13"/>
  <c r="P1100" i="13"/>
  <c r="P1264" i="13"/>
  <c r="P295" i="13"/>
  <c r="P297" i="13"/>
  <c r="P301" i="13"/>
  <c r="P303" i="13"/>
  <c r="P309" i="13"/>
  <c r="P311" i="13"/>
  <c r="P313" i="13"/>
  <c r="P315" i="13"/>
  <c r="P321" i="13"/>
  <c r="P325" i="13"/>
  <c r="P333" i="13"/>
  <c r="P375" i="13"/>
  <c r="P379" i="13"/>
  <c r="P387" i="13"/>
  <c r="P389" i="13"/>
  <c r="P393" i="13"/>
  <c r="P395" i="13"/>
  <c r="P397" i="13"/>
  <c r="P399" i="13"/>
  <c r="P401" i="13"/>
  <c r="P403" i="13"/>
  <c r="P405" i="13"/>
  <c r="P407" i="13"/>
  <c r="P409" i="13"/>
  <c r="P411" i="13"/>
  <c r="P413" i="13"/>
  <c r="P415" i="13"/>
  <c r="P550" i="13"/>
  <c r="P552" i="13"/>
  <c r="P554" i="13"/>
  <c r="P556" i="13"/>
  <c r="P558" i="13"/>
  <c r="P560" i="13"/>
  <c r="P566" i="13"/>
  <c r="P570" i="13"/>
  <c r="P572" i="13"/>
  <c r="P574" i="13"/>
  <c r="P576" i="13"/>
  <c r="P578" i="13"/>
  <c r="P580" i="13"/>
  <c r="P582" i="13"/>
  <c r="P584" i="13"/>
  <c r="P589" i="13"/>
  <c r="P591" i="13"/>
  <c r="P634" i="13"/>
  <c r="P636" i="13"/>
  <c r="P638" i="13"/>
  <c r="P648" i="13"/>
  <c r="P652" i="13"/>
  <c r="P656" i="13"/>
  <c r="P658" i="13"/>
  <c r="P723" i="13"/>
  <c r="P749" i="13"/>
  <c r="P751" i="13"/>
  <c r="P802" i="13"/>
  <c r="P804" i="13"/>
  <c r="P810" i="13"/>
  <c r="P976" i="13"/>
  <c r="P1007" i="13"/>
  <c r="P1009" i="13"/>
  <c r="P1087" i="13"/>
  <c r="P1091" i="13"/>
  <c r="P1097" i="13"/>
  <c r="P1099" i="13"/>
  <c r="P1145" i="13"/>
  <c r="P1147" i="13"/>
  <c r="P1149" i="13"/>
  <c r="P1163" i="13"/>
  <c r="P1234" i="13"/>
  <c r="P1236" i="13"/>
  <c r="P1238" i="13"/>
  <c r="P1242" i="13"/>
  <c r="P1267" i="13"/>
  <c r="P212" i="13"/>
  <c r="P216" i="13"/>
  <c r="P465" i="13"/>
  <c r="P469" i="13"/>
  <c r="P471" i="13"/>
  <c r="P477" i="13"/>
  <c r="P629" i="13"/>
  <c r="P664" i="13"/>
  <c r="P668" i="13"/>
  <c r="P670" i="13"/>
  <c r="P806" i="13"/>
  <c r="P808" i="13"/>
  <c r="P812" i="13"/>
  <c r="P841" i="13"/>
  <c r="P843" i="13"/>
  <c r="P847" i="13"/>
  <c r="P849" i="13"/>
  <c r="P910" i="13"/>
  <c r="P916" i="13"/>
  <c r="P1018" i="13"/>
  <c r="P1089" i="13"/>
  <c r="P1093" i="13"/>
  <c r="P1095" i="13"/>
  <c r="P1166" i="13"/>
  <c r="P1240" i="13"/>
  <c r="P1278" i="13"/>
  <c r="P148" i="13"/>
  <c r="P132" i="13"/>
  <c r="P128" i="13"/>
  <c r="P332" i="13"/>
  <c r="P412" i="13"/>
  <c r="P462" i="13"/>
  <c r="P575" i="13"/>
  <c r="P735" i="13"/>
  <c r="P739" i="13"/>
  <c r="P741" i="13"/>
  <c r="P743" i="13"/>
  <c r="P747" i="13"/>
  <c r="P899" i="13"/>
  <c r="P907" i="13"/>
  <c r="P1013" i="13"/>
  <c r="P1157" i="13"/>
  <c r="P1277" i="13"/>
  <c r="P215" i="13"/>
  <c r="P323" i="13"/>
  <c r="P417" i="13"/>
  <c r="P504" i="13"/>
  <c r="P640" i="13"/>
  <c r="P644" i="13"/>
  <c r="P646" i="13"/>
  <c r="P662" i="13"/>
  <c r="P730" i="13"/>
  <c r="P738" i="13"/>
  <c r="P755" i="13"/>
  <c r="P929" i="13"/>
  <c r="P1000" i="13"/>
  <c r="P1075" i="13"/>
  <c r="P1158" i="13"/>
  <c r="P1222" i="13"/>
  <c r="P1235" i="13"/>
  <c r="P631" i="13"/>
  <c r="P1058" i="13"/>
  <c r="P1103" i="13"/>
  <c r="P236" i="13"/>
  <c r="P396" i="13"/>
  <c r="P818" i="13"/>
  <c r="P156" i="13"/>
  <c r="P149" i="13"/>
  <c r="P141" i="13"/>
  <c r="P208" i="13"/>
  <c r="P386" i="13"/>
  <c r="P391" i="13"/>
  <c r="P473" i="13"/>
  <c r="P661" i="13"/>
  <c r="P716" i="13"/>
  <c r="P754" i="13"/>
  <c r="P815" i="13"/>
  <c r="P830" i="13"/>
  <c r="P921" i="13"/>
  <c r="P925" i="13"/>
  <c r="P1074" i="13"/>
  <c r="P1239" i="13"/>
  <c r="P1244" i="13"/>
  <c r="P1269" i="13"/>
  <c r="P1280" i="13"/>
  <c r="P964" i="13"/>
  <c r="P157" i="13"/>
  <c r="P155" i="13"/>
  <c r="P221" i="13"/>
  <c r="P242" i="13"/>
  <c r="P310" i="13"/>
  <c r="P319" i="13"/>
  <c r="P327" i="13"/>
  <c r="P329" i="13"/>
  <c r="P331" i="13"/>
  <c r="P378" i="13"/>
  <c r="P392" i="13"/>
  <c r="P489" i="13"/>
  <c r="P495" i="13"/>
  <c r="P497" i="13"/>
  <c r="P501" i="13"/>
  <c r="P562" i="13"/>
  <c r="P564" i="13"/>
  <c r="P568" i="13"/>
  <c r="P642" i="13"/>
  <c r="P758" i="13"/>
  <c r="P816" i="13"/>
  <c r="P837" i="13"/>
  <c r="P839" i="13"/>
  <c r="P900" i="13"/>
  <c r="P978" i="13"/>
  <c r="P999" i="13"/>
  <c r="P1066" i="13"/>
  <c r="P1088" i="13"/>
  <c r="P1107" i="13"/>
  <c r="P1174" i="13"/>
  <c r="P1189" i="13"/>
  <c r="P1193" i="13"/>
  <c r="P127" i="13"/>
  <c r="P122" i="13"/>
  <c r="P307" i="13"/>
  <c r="P400" i="13"/>
  <c r="P459" i="13"/>
  <c r="P461" i="13"/>
  <c r="P486" i="13"/>
  <c r="P545" i="13"/>
  <c r="P645" i="13"/>
  <c r="P650" i="13"/>
  <c r="P654" i="13"/>
  <c r="P669" i="13"/>
  <c r="P673" i="13"/>
  <c r="P721" i="13"/>
  <c r="P725" i="13"/>
  <c r="P727" i="13"/>
  <c r="P729" i="13"/>
  <c r="P740" i="13"/>
  <c r="P1152" i="13"/>
  <c r="P1154" i="13"/>
  <c r="P1169" i="13"/>
  <c r="P1180" i="13"/>
  <c r="P1250" i="13"/>
  <c r="P1270" i="13"/>
  <c r="P1274" i="13"/>
  <c r="L44" i="2"/>
  <c r="J33" i="6"/>
  <c r="G123" i="2" s="1"/>
  <c r="F25" i="49"/>
  <c r="F23" i="32"/>
  <c r="C218" i="13"/>
  <c r="C219" i="13" s="1"/>
  <c r="C220" i="13" s="1"/>
  <c r="C221" i="13" s="1"/>
  <c r="C222" i="13" s="1"/>
  <c r="C223" i="13" s="1"/>
  <c r="C224" i="13" s="1"/>
  <c r="C225" i="13" s="1"/>
  <c r="C226" i="13" s="1"/>
  <c r="C227" i="13" s="1"/>
  <c r="C228" i="13" s="1"/>
  <c r="C229" i="13" s="1"/>
  <c r="C230" i="13" s="1"/>
  <c r="C231" i="13" s="1"/>
  <c r="C232" i="13" s="1"/>
  <c r="C233" i="13" s="1"/>
  <c r="C234" i="13" s="1"/>
  <c r="C235" i="13" s="1"/>
  <c r="C236" i="13" s="1"/>
  <c r="C237" i="13" s="1"/>
  <c r="C238" i="13" s="1"/>
  <c r="C239" i="13" s="1"/>
  <c r="C240" i="13" s="1"/>
  <c r="C241" i="13" s="1"/>
  <c r="C242" i="13" s="1"/>
  <c r="C243" i="13" s="1"/>
  <c r="C244" i="13" s="1"/>
  <c r="C245" i="13" s="1"/>
  <c r="C246" i="13" s="1"/>
  <c r="C247" i="13" s="1"/>
  <c r="N176" i="13"/>
  <c r="M176" i="13"/>
  <c r="E193" i="2"/>
  <c r="E192" i="2"/>
  <c r="A48" i="11"/>
  <c r="E189" i="2"/>
  <c r="A36" i="9"/>
  <c r="A37" i="9" s="1"/>
  <c r="A38" i="9" s="1"/>
  <c r="A39" i="9" s="1"/>
  <c r="A40" i="9" s="1"/>
  <c r="A41" i="9" s="1"/>
  <c r="A42" i="9" s="1"/>
  <c r="E152" i="2"/>
  <c r="S27" i="21"/>
  <c r="O33" i="21"/>
  <c r="G217" i="2" s="1"/>
  <c r="N90" i="13"/>
  <c r="M90" i="13"/>
  <c r="P963" i="13"/>
  <c r="D22" i="49"/>
  <c r="D23" i="49" s="1"/>
  <c r="H21" i="49"/>
  <c r="G96" i="2"/>
  <c r="E95" i="41"/>
  <c r="A18" i="5"/>
  <c r="A19" i="5" s="1"/>
  <c r="A20" i="5" s="1"/>
  <c r="A23" i="5" s="1"/>
  <c r="A25" i="5" s="1"/>
  <c r="A29" i="35"/>
  <c r="A30" i="35" s="1"/>
  <c r="A31" i="35" s="1"/>
  <c r="A32" i="35" s="1"/>
  <c r="A33" i="35" s="1"/>
  <c r="A34" i="35" s="1"/>
  <c r="A35" i="35" s="1"/>
  <c r="A36" i="35" s="1"/>
  <c r="A37" i="35" s="1"/>
  <c r="A38" i="35" s="1"/>
  <c r="A39" i="35" s="1"/>
  <c r="A40" i="35" s="1"/>
  <c r="A41" i="35" s="1"/>
  <c r="A42" i="35" s="1"/>
  <c r="E71" i="2"/>
  <c r="E69" i="2"/>
  <c r="E70" i="2"/>
  <c r="E73" i="2"/>
  <c r="E67" i="2"/>
  <c r="E94" i="41"/>
  <c r="C103" i="41"/>
  <c r="C105" i="41" s="1"/>
  <c r="E264" i="2"/>
  <c r="E265" i="2"/>
  <c r="A29" i="41"/>
  <c r="A30" i="41" s="1"/>
  <c r="A31" i="41" s="1"/>
  <c r="A32" i="41" s="1"/>
  <c r="A33" i="41" s="1"/>
  <c r="A34" i="41" s="1"/>
  <c r="A35" i="41" s="1"/>
  <c r="A36" i="41" s="1"/>
  <c r="A37" i="41" s="1"/>
  <c r="A38" i="41" s="1"/>
  <c r="A39" i="41" s="1"/>
  <c r="A40" i="41" s="1"/>
  <c r="A41" i="41" s="1"/>
  <c r="A42" i="41" s="1"/>
  <c r="A28" i="48"/>
  <c r="A37" i="48" s="1"/>
  <c r="D22" i="32"/>
  <c r="D23" i="32" s="1"/>
  <c r="D24" i="32" s="1"/>
  <c r="D25" i="32" s="1"/>
  <c r="D26" i="32" s="1"/>
  <c r="D27" i="32" s="1"/>
  <c r="D28" i="32" s="1"/>
  <c r="D29" i="32" s="1"/>
  <c r="D30" i="32" s="1"/>
  <c r="D31" i="32" s="1"/>
  <c r="D32" i="32" s="1"/>
  <c r="H21" i="32"/>
  <c r="M348" i="13"/>
  <c r="I186" i="38"/>
  <c r="I192" i="38" s="1"/>
  <c r="C89" i="41"/>
  <c r="E89" i="41" s="1"/>
  <c r="E88" i="41"/>
  <c r="H255" i="2"/>
  <c r="P146" i="13"/>
  <c r="P136" i="13"/>
  <c r="P130" i="13"/>
  <c r="P121" i="13"/>
  <c r="D206" i="38"/>
  <c r="E71" i="9"/>
  <c r="P376" i="13"/>
  <c r="S17" i="21"/>
  <c r="E17" i="5"/>
  <c r="E19" i="5"/>
  <c r="E61" i="9"/>
  <c r="G17" i="5"/>
  <c r="G19" i="5"/>
  <c r="P561" i="13"/>
  <c r="P573" i="13"/>
  <c r="P239" i="13"/>
  <c r="P317" i="13"/>
  <c r="P228" i="13"/>
  <c r="P398" i="13"/>
  <c r="P466" i="13"/>
  <c r="P494" i="13"/>
  <c r="P759" i="13"/>
  <c r="P912" i="13"/>
  <c r="P934" i="13"/>
  <c r="P987" i="13"/>
  <c r="P1015" i="13"/>
  <c r="P676" i="13"/>
  <c r="P763" i="13"/>
  <c r="P833" i="13"/>
  <c r="P840" i="13"/>
  <c r="P845" i="13"/>
  <c r="P889" i="13"/>
  <c r="P905" i="13"/>
  <c r="P1072" i="13"/>
  <c r="P1165" i="13"/>
  <c r="P1231" i="13"/>
  <c r="P1260" i="13"/>
  <c r="P897" i="13"/>
  <c r="P980" i="13"/>
  <c r="P1008" i="13"/>
  <c r="P1010" i="13"/>
  <c r="P1104" i="13"/>
  <c r="P1143" i="13"/>
  <c r="P1178" i="13"/>
  <c r="P1246" i="13"/>
  <c r="P1257" i="13"/>
  <c r="P908" i="13"/>
  <c r="P977" i="13"/>
  <c r="P986" i="13"/>
  <c r="P1261" i="13"/>
  <c r="E90" i="2" l="1"/>
  <c r="E89" i="2"/>
  <c r="A67" i="38"/>
  <c r="A68" i="38" s="1"/>
  <c r="A69" i="38" s="1"/>
  <c r="A70" i="38" s="1"/>
  <c r="A71" i="38" s="1"/>
  <c r="A72" i="38" s="1"/>
  <c r="A73" i="38" s="1"/>
  <c r="A74" i="38" s="1"/>
  <c r="A75" i="38" s="1"/>
  <c r="A76" i="38" s="1"/>
  <c r="A77" i="38" s="1"/>
  <c r="A78" i="38" s="1"/>
  <c r="A79" i="38" s="1"/>
  <c r="A80" i="38" s="1"/>
  <c r="A81" i="38" s="1"/>
  <c r="A82" i="38" s="1"/>
  <c r="A83" i="38" s="1"/>
  <c r="A84" i="38" s="1"/>
  <c r="A85" i="38" s="1"/>
  <c r="A86" i="38" s="1"/>
  <c r="A87" i="38" s="1"/>
  <c r="A88" i="38" s="1"/>
  <c r="A89" i="38" s="1"/>
  <c r="A90" i="38" s="1"/>
  <c r="A91" i="38" s="1"/>
  <c r="A92" i="38" s="1"/>
  <c r="A93" i="38" s="1"/>
  <c r="A94" i="38" s="1"/>
  <c r="A95" i="38" s="1"/>
  <c r="A96" i="38" s="1"/>
  <c r="A97" i="38" s="1"/>
  <c r="A98" i="38" s="1"/>
  <c r="A99" i="38" s="1"/>
  <c r="A100" i="38" s="1"/>
  <c r="A101" i="38" s="1"/>
  <c r="A102" i="38" s="1"/>
  <c r="A103" i="38" s="1"/>
  <c r="A104" i="38" s="1"/>
  <c r="A105" i="38" s="1"/>
  <c r="A106" i="38" s="1"/>
  <c r="A107" i="38" s="1"/>
  <c r="A108" i="38" s="1"/>
  <c r="A109" i="38" s="1"/>
  <c r="A110" i="38" s="1"/>
  <c r="A111" i="38" s="1"/>
  <c r="A112" i="38" s="1"/>
  <c r="A113" i="38" s="1"/>
  <c r="A114" i="38" s="1"/>
  <c r="A115" i="38" s="1"/>
  <c r="A116" i="38" s="1"/>
  <c r="A117" i="38" s="1"/>
  <c r="A118" i="38" s="1"/>
  <c r="A119" i="38" s="1"/>
  <c r="A120" i="38" s="1"/>
  <c r="A121" i="38" s="1"/>
  <c r="A122" i="38" s="1"/>
  <c r="E22" i="20"/>
  <c r="G201" i="2"/>
  <c r="G207" i="2" s="1"/>
  <c r="J82" i="2"/>
  <c r="J83" i="2" s="1"/>
  <c r="L83" i="2" s="1"/>
  <c r="L48" i="2"/>
  <c r="E142" i="30"/>
  <c r="I42" i="5"/>
  <c r="E31" i="2"/>
  <c r="E20" i="2"/>
  <c r="D33" i="2"/>
  <c r="O606" i="13"/>
  <c r="A195" i="38"/>
  <c r="A197" i="38" s="1"/>
  <c r="A199" i="38" s="1"/>
  <c r="A201" i="38" s="1"/>
  <c r="A202" i="38" s="1"/>
  <c r="A203" i="38" s="1"/>
  <c r="A204" i="38" s="1"/>
  <c r="A205" i="38" s="1"/>
  <c r="A206" i="38" s="1"/>
  <c r="D52" i="5" s="1"/>
  <c r="H21" i="47"/>
  <c r="K21" i="47" s="1"/>
  <c r="O434" i="13"/>
  <c r="O778" i="13"/>
  <c r="O262" i="13"/>
  <c r="O950" i="13"/>
  <c r="O348" i="13"/>
  <c r="O1122" i="13"/>
  <c r="O864" i="13"/>
  <c r="O692" i="13"/>
  <c r="E103" i="41"/>
  <c r="E105" i="41" s="1"/>
  <c r="K62" i="11"/>
  <c r="K64" i="11" s="1"/>
  <c r="K66" i="11" s="1"/>
  <c r="K68" i="11" s="1"/>
  <c r="K69" i="11" s="1"/>
  <c r="E104" i="41"/>
  <c r="E43" i="11"/>
  <c r="G206" i="38"/>
  <c r="G23" i="38"/>
  <c r="I26" i="5"/>
  <c r="I49" i="5"/>
  <c r="I51" i="5" s="1"/>
  <c r="G108" i="2" s="1"/>
  <c r="H22" i="47"/>
  <c r="K22" i="47" s="1"/>
  <c r="F23" i="47"/>
  <c r="G194" i="2"/>
  <c r="O21" i="13"/>
  <c r="G62" i="11"/>
  <c r="G72" i="11" s="1"/>
  <c r="G74" i="11" s="1"/>
  <c r="G76" i="11" s="1"/>
  <c r="K57" i="11"/>
  <c r="K58" i="11" s="1"/>
  <c r="E36" i="5"/>
  <c r="I19" i="5"/>
  <c r="S33" i="21"/>
  <c r="L217" i="2" s="1"/>
  <c r="O176" i="13"/>
  <c r="I17" i="5"/>
  <c r="G20" i="5"/>
  <c r="G36" i="5"/>
  <c r="I33" i="5"/>
  <c r="A48" i="41"/>
  <c r="A49" i="41" s="1"/>
  <c r="A26" i="5"/>
  <c r="A27" i="5" s="1"/>
  <c r="A28" i="5" s="1"/>
  <c r="A31" i="5" s="1"/>
  <c r="A33" i="5" s="1"/>
  <c r="A50" i="11"/>
  <c r="A51" i="11" s="1"/>
  <c r="F26" i="49"/>
  <c r="G28" i="5"/>
  <c r="I35" i="5"/>
  <c r="A39" i="48"/>
  <c r="A41" i="48" s="1"/>
  <c r="C104" i="41"/>
  <c r="H22" i="49"/>
  <c r="K22" i="49" s="1"/>
  <c r="D36" i="2"/>
  <c r="B36" i="2"/>
  <c r="B37" i="2" s="1"/>
  <c r="C70" i="20"/>
  <c r="C70" i="13"/>
  <c r="G127" i="2"/>
  <c r="G186" i="38"/>
  <c r="G192" i="38" s="1"/>
  <c r="E20" i="5"/>
  <c r="G44" i="5"/>
  <c r="E84" i="2"/>
  <c r="E83" i="2"/>
  <c r="E81" i="2"/>
  <c r="E85" i="2"/>
  <c r="E86" i="2"/>
  <c r="E80" i="2"/>
  <c r="E82" i="2"/>
  <c r="A49" i="35"/>
  <c r="A50" i="35" s="1"/>
  <c r="A51" i="35" s="1"/>
  <c r="A52" i="35" s="1"/>
  <c r="A53" i="35" s="1"/>
  <c r="A54" i="35" s="1"/>
  <c r="A55" i="35" s="1"/>
  <c r="A56" i="35" s="1"/>
  <c r="A57" i="35" s="1"/>
  <c r="A58" i="35" s="1"/>
  <c r="A59" i="35" s="1"/>
  <c r="A60" i="35" s="1"/>
  <c r="A61" i="35" s="1"/>
  <c r="A62" i="35" s="1"/>
  <c r="E88" i="2"/>
  <c r="E87" i="2"/>
  <c r="I48" i="11"/>
  <c r="K21" i="49"/>
  <c r="O90" i="13"/>
  <c r="A45" i="9"/>
  <c r="A46" i="9" s="1"/>
  <c r="A47" i="9" s="1"/>
  <c r="E168" i="2"/>
  <c r="H22" i="32"/>
  <c r="K22" i="32" s="1"/>
  <c r="K21" i="32"/>
  <c r="D20" i="5"/>
  <c r="D24" i="49"/>
  <c r="H23" i="49"/>
  <c r="K23" i="49" s="1"/>
  <c r="H23" i="32"/>
  <c r="K23" i="32" s="1"/>
  <c r="F24" i="32"/>
  <c r="G53" i="11"/>
  <c r="A123" i="38" l="1"/>
  <c r="A124" i="38" s="1"/>
  <c r="A125" i="38" s="1"/>
  <c r="A126" i="38" s="1"/>
  <c r="A127" i="38" s="1"/>
  <c r="A128" i="38" s="1"/>
  <c r="A129" i="38" s="1"/>
  <c r="A130" i="38" s="1"/>
  <c r="A131" i="38" s="1"/>
  <c r="A132" i="38" s="1"/>
  <c r="A133" i="38" s="1"/>
  <c r="A134" i="38" s="1"/>
  <c r="A135" i="38" s="1"/>
  <c r="A136" i="38" s="1"/>
  <c r="A137" i="38" s="1"/>
  <c r="A138" i="38" s="1"/>
  <c r="A139" i="38" s="1"/>
  <c r="A140" i="38" s="1"/>
  <c r="A141" i="38" s="1"/>
  <c r="A142" i="38" s="1"/>
  <c r="A143" i="38" s="1"/>
  <c r="A144" i="38" s="1"/>
  <c r="A145" i="38" s="1"/>
  <c r="A146" i="38" s="1"/>
  <c r="A147" i="38" s="1"/>
  <c r="A48" i="9"/>
  <c r="A49" i="9" s="1"/>
  <c r="A50" i="9" s="1"/>
  <c r="A51" i="9" s="1"/>
  <c r="A52" i="9" s="1"/>
  <c r="A53" i="9" s="1"/>
  <c r="A54" i="9" s="1"/>
  <c r="A55" i="9" s="1"/>
  <c r="A56" i="9" s="1"/>
  <c r="A57" i="9" s="1"/>
  <c r="A58" i="9" s="1"/>
  <c r="A59" i="9" s="1"/>
  <c r="A61" i="9" s="1"/>
  <c r="A29" i="38"/>
  <c r="A30" i="38" s="1"/>
  <c r="A31" i="38" s="1"/>
  <c r="A32" i="38" s="1"/>
  <c r="A33" i="38" s="1"/>
  <c r="A34" i="38" s="1"/>
  <c r="A35" i="38" s="1"/>
  <c r="A36" i="38" s="1"/>
  <c r="A37" i="38" s="1"/>
  <c r="A38" i="38" s="1"/>
  <c r="A39" i="38" s="1"/>
  <c r="A40" i="38" s="1"/>
  <c r="A41" i="38" s="1"/>
  <c r="A42" i="38" s="1"/>
  <c r="A43" i="38" s="1"/>
  <c r="A44" i="38" s="1"/>
  <c r="A45" i="38" s="1"/>
  <c r="A46" i="38" s="1"/>
  <c r="A47" i="38" s="1"/>
  <c r="A48" i="38" s="1"/>
  <c r="A49" i="38" s="1"/>
  <c r="A50" i="38" s="1"/>
  <c r="A51" i="38" s="1"/>
  <c r="J181" i="2"/>
  <c r="L181" i="2" s="1"/>
  <c r="L262" i="2"/>
  <c r="D28" i="5"/>
  <c r="K72" i="11"/>
  <c r="K74" i="11" s="1"/>
  <c r="K76" i="11" s="1"/>
  <c r="K78" i="11" s="1"/>
  <c r="K79" i="11" s="1"/>
  <c r="G64" i="11"/>
  <c r="G66" i="11" s="1"/>
  <c r="H23" i="47"/>
  <c r="K23" i="47" s="1"/>
  <c r="F24" i="47"/>
  <c r="G55" i="11"/>
  <c r="A43" i="48"/>
  <c r="E160" i="2"/>
  <c r="D25" i="49"/>
  <c r="H24" i="49"/>
  <c r="K24" i="49" s="1"/>
  <c r="E159" i="2"/>
  <c r="F27" i="49"/>
  <c r="I36" i="5"/>
  <c r="L106" i="2" s="1"/>
  <c r="G106" i="2"/>
  <c r="G104" i="2"/>
  <c r="I20" i="5"/>
  <c r="L104" i="2" s="1"/>
  <c r="I51" i="11"/>
  <c r="I62" i="11"/>
  <c r="F25" i="32"/>
  <c r="H24" i="32"/>
  <c r="K24" i="32" s="1"/>
  <c r="B39" i="2"/>
  <c r="B42" i="2" s="1"/>
  <c r="B44" i="2" s="1"/>
  <c r="B24" i="2"/>
  <c r="C51" i="11"/>
  <c r="A50" i="41"/>
  <c r="A51" i="41" s="1"/>
  <c r="A52" i="41" s="1"/>
  <c r="A53" i="41" s="1"/>
  <c r="A54" i="41" s="1"/>
  <c r="A55" i="41" s="1"/>
  <c r="A56" i="41" s="1"/>
  <c r="D235" i="2"/>
  <c r="D236" i="2"/>
  <c r="B43" i="48"/>
  <c r="A52" i="11"/>
  <c r="A53" i="11" s="1"/>
  <c r="A34" i="5"/>
  <c r="A35" i="5" s="1"/>
  <c r="A36" i="5" s="1"/>
  <c r="A39" i="5" s="1"/>
  <c r="A41" i="5" s="1"/>
  <c r="A148" i="38" l="1"/>
  <c r="A149" i="38" s="1"/>
  <c r="A150" i="38" s="1"/>
  <c r="A151" i="38" s="1"/>
  <c r="A152" i="38" s="1"/>
  <c r="A153" i="38" s="1"/>
  <c r="E169" i="2"/>
  <c r="A64" i="9"/>
  <c r="A65" i="9" s="1"/>
  <c r="A66" i="9" s="1"/>
  <c r="A67" i="9" s="1"/>
  <c r="A68" i="9" s="1"/>
  <c r="A69" i="9" s="1"/>
  <c r="A71" i="9" s="1"/>
  <c r="E170" i="2" s="1"/>
  <c r="A52" i="38"/>
  <c r="A53" i="38" s="1"/>
  <c r="A54" i="38" s="1"/>
  <c r="G76" i="20"/>
  <c r="H76" i="13"/>
  <c r="G59" i="20"/>
  <c r="F59" i="13"/>
  <c r="K82" i="11"/>
  <c r="C53" i="11"/>
  <c r="D36" i="5"/>
  <c r="B56" i="41"/>
  <c r="F25" i="47"/>
  <c r="H24" i="47"/>
  <c r="K24" i="47" s="1"/>
  <c r="B45" i="2"/>
  <c r="I64" i="11"/>
  <c r="A42" i="5"/>
  <c r="A43" i="5" s="1"/>
  <c r="A44" i="5" s="1"/>
  <c r="A47" i="5" s="1"/>
  <c r="A49" i="5" s="1"/>
  <c r="I53" i="11"/>
  <c r="D26" i="49"/>
  <c r="H25" i="49"/>
  <c r="K25" i="49" s="1"/>
  <c r="A45" i="48"/>
  <c r="B47" i="48" s="1"/>
  <c r="E261" i="2"/>
  <c r="B58" i="41"/>
  <c r="A58" i="41"/>
  <c r="A54" i="11"/>
  <c r="A55" i="11" s="1"/>
  <c r="F26" i="32"/>
  <c r="H25" i="32"/>
  <c r="K25" i="32" s="1"/>
  <c r="F28" i="49"/>
  <c r="I72" i="11"/>
  <c r="A154" i="38" l="1"/>
  <c r="A155" i="38" s="1"/>
  <c r="A156" i="38" s="1"/>
  <c r="A157" i="38" s="1"/>
  <c r="A158" i="38" s="1"/>
  <c r="A159" i="38" s="1"/>
  <c r="A160" i="38" s="1"/>
  <c r="A161" i="38" s="1"/>
  <c r="A162" i="38" s="1"/>
  <c r="A163" i="38" s="1"/>
  <c r="A164" i="38" s="1"/>
  <c r="A165" i="38" s="1"/>
  <c r="A166" i="38" s="1"/>
  <c r="A167" i="38" s="1"/>
  <c r="A168" i="38" s="1"/>
  <c r="A169" i="38" s="1"/>
  <c r="A55" i="38"/>
  <c r="A56" i="38" s="1"/>
  <c r="A57" i="38" s="1"/>
  <c r="A58" i="38" s="1"/>
  <c r="H25" i="47"/>
  <c r="K25" i="47" s="1"/>
  <c r="F26" i="47"/>
  <c r="A61" i="41"/>
  <c r="D271" i="2"/>
  <c r="F27" i="32"/>
  <c r="H26" i="32"/>
  <c r="K26" i="32" s="1"/>
  <c r="D44" i="5"/>
  <c r="B46" i="2"/>
  <c r="B48" i="2" s="1"/>
  <c r="B66" i="2" s="1"/>
  <c r="I74" i="11"/>
  <c r="F29" i="49"/>
  <c r="C56" i="11"/>
  <c r="A56" i="11"/>
  <c r="D27" i="49"/>
  <c r="H26" i="49"/>
  <c r="A50" i="5"/>
  <c r="A51" i="5" s="1"/>
  <c r="A52" i="5" s="1"/>
  <c r="I66" i="11"/>
  <c r="I82" i="11"/>
  <c r="C55" i="11"/>
  <c r="E161" i="2"/>
  <c r="A47" i="48"/>
  <c r="C21" i="48" s="1"/>
  <c r="I55" i="11"/>
  <c r="A170" i="38" l="1"/>
  <c r="A171" i="38" s="1"/>
  <c r="A172" i="38" s="1"/>
  <c r="A173" i="38" s="1"/>
  <c r="A174" i="38" s="1"/>
  <c r="A175" i="38" s="1"/>
  <c r="A176" i="38" s="1"/>
  <c r="A177" i="38" s="1"/>
  <c r="A178" i="38" s="1"/>
  <c r="A179" i="38" s="1"/>
  <c r="A180" i="38" s="1"/>
  <c r="A181" i="38" s="1"/>
  <c r="A182" i="38" s="1"/>
  <c r="E48" i="2"/>
  <c r="H26" i="47"/>
  <c r="K26" i="47" s="1"/>
  <c r="F27" i="47"/>
  <c r="D51" i="5"/>
  <c r="D28" i="49"/>
  <c r="H27" i="49"/>
  <c r="K27" i="49" s="1"/>
  <c r="C57" i="11"/>
  <c r="A57" i="11"/>
  <c r="H27" i="32"/>
  <c r="K27" i="32" s="1"/>
  <c r="F28" i="32"/>
  <c r="D63" i="41"/>
  <c r="A64" i="41"/>
  <c r="F30" i="49"/>
  <c r="I76" i="11"/>
  <c r="D318" i="2"/>
  <c r="K26" i="49"/>
  <c r="B67" i="2"/>
  <c r="B68" i="2" s="1"/>
  <c r="H27" i="47" l="1"/>
  <c r="K27" i="47" s="1"/>
  <c r="F28" i="47"/>
  <c r="H28" i="32"/>
  <c r="K28" i="32" s="1"/>
  <c r="F29" i="32"/>
  <c r="D29" i="49"/>
  <c r="H28" i="49"/>
  <c r="K28" i="49" s="1"/>
  <c r="A58" i="11"/>
  <c r="C58" i="11"/>
  <c r="C75" i="20"/>
  <c r="B69" i="2"/>
  <c r="B70" i="2" s="1"/>
  <c r="E234" i="2"/>
  <c r="C75" i="13"/>
  <c r="F31" i="49"/>
  <c r="A65" i="41"/>
  <c r="A66" i="41" s="1"/>
  <c r="A67" i="41" s="1"/>
  <c r="A68" i="41" s="1"/>
  <c r="A69" i="41" s="1"/>
  <c r="A70" i="41" s="1"/>
  <c r="A71" i="41" s="1"/>
  <c r="A72" i="41" s="1"/>
  <c r="A73" i="41" s="1"/>
  <c r="A74" i="41" s="1"/>
  <c r="E36" i="9" l="1"/>
  <c r="H28" i="47"/>
  <c r="K28" i="47" s="1"/>
  <c r="F29" i="47"/>
  <c r="B71" i="2"/>
  <c r="B72" i="2" s="1"/>
  <c r="D30" i="49"/>
  <c r="H29" i="49"/>
  <c r="K29" i="49" s="1"/>
  <c r="C59" i="11"/>
  <c r="A59" i="11"/>
  <c r="A61" i="11" s="1"/>
  <c r="A76" i="41"/>
  <c r="B50" i="41"/>
  <c r="F32" i="49"/>
  <c r="B76" i="41"/>
  <c r="F30" i="32"/>
  <c r="H29" i="32"/>
  <c r="K29" i="32" s="1"/>
  <c r="H29" i="47" l="1"/>
  <c r="K29" i="47" s="1"/>
  <c r="F30" i="47"/>
  <c r="F36" i="49"/>
  <c r="F39" i="49"/>
  <c r="A77" i="41"/>
  <c r="A78" i="41" s="1"/>
  <c r="A79" i="41" s="1"/>
  <c r="A80" i="41" s="1"/>
  <c r="D31" i="49"/>
  <c r="H30" i="49"/>
  <c r="K30" i="49" s="1"/>
  <c r="F31" i="32"/>
  <c r="H30" i="32"/>
  <c r="K30" i="32" s="1"/>
  <c r="A62" i="11"/>
  <c r="C62" i="11"/>
  <c r="B73" i="2"/>
  <c r="B74" i="2" s="1"/>
  <c r="I40" i="30" l="1"/>
  <c r="I37" i="30"/>
  <c r="F31" i="47"/>
  <c r="H30" i="47"/>
  <c r="I38" i="30"/>
  <c r="B80" i="41"/>
  <c r="F32" i="32"/>
  <c r="H31" i="32"/>
  <c r="K31" i="32" s="1"/>
  <c r="B51" i="41"/>
  <c r="A85" i="41"/>
  <c r="B77" i="2"/>
  <c r="B79" i="2" s="1"/>
  <c r="B80" i="2" s="1"/>
  <c r="E77" i="2"/>
  <c r="A63" i="11"/>
  <c r="A64" i="11" s="1"/>
  <c r="C72" i="11"/>
  <c r="D32" i="49"/>
  <c r="H32" i="49" s="1"/>
  <c r="H31" i="49"/>
  <c r="K31" i="49" s="1"/>
  <c r="F40" i="49"/>
  <c r="K30" i="47" l="1"/>
  <c r="H31" i="47"/>
  <c r="K31" i="47" s="1"/>
  <c r="F32" i="47"/>
  <c r="B81" i="2"/>
  <c r="B82" i="2" s="1"/>
  <c r="K32" i="49"/>
  <c r="K33" i="49" s="1"/>
  <c r="D36" i="49" s="1"/>
  <c r="H33" i="49"/>
  <c r="F41" i="49"/>
  <c r="A65" i="11"/>
  <c r="A66" i="11" s="1"/>
  <c r="C64" i="11"/>
  <c r="A86" i="41"/>
  <c r="H32" i="32"/>
  <c r="F36" i="32"/>
  <c r="F39" i="32"/>
  <c r="H32" i="47" l="1"/>
  <c r="K32" i="47" s="1"/>
  <c r="K33" i="47" s="1"/>
  <c r="D36" i="47" s="1"/>
  <c r="F36" i="47"/>
  <c r="F39" i="47"/>
  <c r="K32" i="32"/>
  <c r="K33" i="32" s="1"/>
  <c r="D36" i="32" s="1"/>
  <c r="H36" i="32" s="1"/>
  <c r="H33" i="32"/>
  <c r="A87" i="41"/>
  <c r="A88" i="41" s="1"/>
  <c r="C66" i="11"/>
  <c r="B83" i="2"/>
  <c r="B84" i="2" s="1"/>
  <c r="F40" i="32"/>
  <c r="H36" i="49"/>
  <c r="K36" i="49" s="1"/>
  <c r="A67" i="11"/>
  <c r="C67" i="11"/>
  <c r="F42" i="49"/>
  <c r="E94" i="2"/>
  <c r="H33" i="47" l="1"/>
  <c r="E95" i="2"/>
  <c r="B88" i="41"/>
  <c r="F40" i="47"/>
  <c r="H36" i="47"/>
  <c r="K36" i="47" s="1"/>
  <c r="D39" i="47" s="1"/>
  <c r="D39" i="49"/>
  <c r="I39" i="49"/>
  <c r="F41" i="32"/>
  <c r="B85" i="2"/>
  <c r="B86" i="2" s="1"/>
  <c r="A89" i="41"/>
  <c r="B89" i="41"/>
  <c r="F43" i="49"/>
  <c r="A68" i="11"/>
  <c r="C68" i="11"/>
  <c r="K36" i="32"/>
  <c r="I39" i="47" l="1"/>
  <c r="K39" i="47" s="1"/>
  <c r="D40" i="47" s="1"/>
  <c r="H39" i="47"/>
  <c r="F41" i="47"/>
  <c r="A69" i="11"/>
  <c r="C69" i="11"/>
  <c r="A91" i="41"/>
  <c r="K39" i="49"/>
  <c r="D40" i="49" s="1"/>
  <c r="H39" i="49"/>
  <c r="I40" i="49"/>
  <c r="I41" i="49" s="1"/>
  <c r="I42" i="49" s="1"/>
  <c r="I43" i="49" s="1"/>
  <c r="I44" i="49" s="1"/>
  <c r="I45" i="49" s="1"/>
  <c r="I46" i="49" s="1"/>
  <c r="I47" i="49" s="1"/>
  <c r="I48" i="49" s="1"/>
  <c r="I49" i="49" s="1"/>
  <c r="I50" i="49" s="1"/>
  <c r="F44" i="49"/>
  <c r="B87" i="2"/>
  <c r="B88" i="2" s="1"/>
  <c r="F42" i="32"/>
  <c r="D39" i="32"/>
  <c r="I39" i="32"/>
  <c r="E96" i="2"/>
  <c r="I53" i="49" l="1"/>
  <c r="I55" i="49" s="1"/>
  <c r="H40" i="47"/>
  <c r="F42" i="47"/>
  <c r="I40" i="47"/>
  <c r="I41" i="47" s="1"/>
  <c r="I42" i="47" s="1"/>
  <c r="I43" i="47" s="1"/>
  <c r="I44" i="47" s="1"/>
  <c r="I45" i="47" s="1"/>
  <c r="I46" i="47" s="1"/>
  <c r="I47" i="47" s="1"/>
  <c r="I48" i="47" s="1"/>
  <c r="I49" i="47" s="1"/>
  <c r="I50" i="47" s="1"/>
  <c r="F43" i="32"/>
  <c r="A92" i="41"/>
  <c r="I40" i="32"/>
  <c r="I41" i="32" s="1"/>
  <c r="I42" i="32" s="1"/>
  <c r="I43" i="32" s="1"/>
  <c r="I44" i="32" s="1"/>
  <c r="I45" i="32" s="1"/>
  <c r="I46" i="32" s="1"/>
  <c r="I47" i="32" s="1"/>
  <c r="I48" i="32" s="1"/>
  <c r="I49" i="32" s="1"/>
  <c r="I50" i="32" s="1"/>
  <c r="B91" i="2"/>
  <c r="B93" i="2" s="1"/>
  <c r="B94" i="2" s="1"/>
  <c r="E98" i="2"/>
  <c r="E91" i="2"/>
  <c r="F45" i="49"/>
  <c r="A70" i="11"/>
  <c r="A72" i="11" s="1"/>
  <c r="A73" i="11" s="1"/>
  <c r="A74" i="11" s="1"/>
  <c r="C70" i="11"/>
  <c r="K39" i="32"/>
  <c r="D40" i="32" s="1"/>
  <c r="H39" i="32"/>
  <c r="E97" i="2"/>
  <c r="K40" i="49"/>
  <c r="D41" i="49" s="1"/>
  <c r="H40" i="49"/>
  <c r="F43" i="47" l="1"/>
  <c r="I53" i="47"/>
  <c r="I55" i="47" s="1"/>
  <c r="K40" i="47"/>
  <c r="D41" i="47" s="1"/>
  <c r="B95" i="2"/>
  <c r="K40" i="32"/>
  <c r="D41" i="32" s="1"/>
  <c r="H40" i="32"/>
  <c r="A75" i="11"/>
  <c r="A76" i="11" s="1"/>
  <c r="F44" i="32"/>
  <c r="I53" i="32"/>
  <c r="I55" i="32" s="1"/>
  <c r="A93" i="41"/>
  <c r="A94" i="41" s="1"/>
  <c r="K41" i="49"/>
  <c r="D42" i="49" s="1"/>
  <c r="H41" i="49"/>
  <c r="F46" i="49"/>
  <c r="C76" i="11" l="1"/>
  <c r="B94" i="41"/>
  <c r="K41" i="47"/>
  <c r="D42" i="47" s="1"/>
  <c r="H41" i="47"/>
  <c r="F44" i="47"/>
  <c r="A95" i="41"/>
  <c r="B95" i="41"/>
  <c r="B96" i="2"/>
  <c r="B97" i="2" s="1"/>
  <c r="B98" i="2" s="1"/>
  <c r="C64" i="13"/>
  <c r="C64" i="20"/>
  <c r="F47" i="49"/>
  <c r="F45" i="32"/>
  <c r="K41" i="32"/>
  <c r="D42" i="32" s="1"/>
  <c r="H41" i="32"/>
  <c r="K42" i="49"/>
  <c r="D43" i="49" s="1"/>
  <c r="H42" i="49"/>
  <c r="C77" i="11"/>
  <c r="A77" i="11"/>
  <c r="A78" i="11" s="1"/>
  <c r="F45" i="47" l="1"/>
  <c r="K42" i="47"/>
  <c r="D43" i="47" s="1"/>
  <c r="H42" i="47"/>
  <c r="A79" i="11"/>
  <c r="C78" i="11"/>
  <c r="K43" i="49"/>
  <c r="D44" i="49" s="1"/>
  <c r="H43" i="49"/>
  <c r="K42" i="32"/>
  <c r="D43" i="32" s="1"/>
  <c r="H42" i="32"/>
  <c r="F46" i="32"/>
  <c r="F48" i="49"/>
  <c r="A97" i="41"/>
  <c r="B100" i="2"/>
  <c r="E100" i="2"/>
  <c r="C79" i="11"/>
  <c r="K43" i="47" l="1"/>
  <c r="D44" i="47" s="1"/>
  <c r="H43" i="47"/>
  <c r="F46" i="47"/>
  <c r="A98" i="41"/>
  <c r="F49" i="49"/>
  <c r="F47" i="32"/>
  <c r="K43" i="32"/>
  <c r="D44" i="32" s="1"/>
  <c r="H43" i="32"/>
  <c r="K44" i="49"/>
  <c r="D45" i="49" s="1"/>
  <c r="H44" i="49"/>
  <c r="A80" i="11"/>
  <c r="A82" i="11" s="1"/>
  <c r="C80" i="11"/>
  <c r="B103" i="2"/>
  <c r="B104" i="2" s="1"/>
  <c r="C48" i="11"/>
  <c r="F47" i="47" l="1"/>
  <c r="K44" i="47"/>
  <c r="D45" i="47" s="1"/>
  <c r="H44" i="47"/>
  <c r="K44" i="32"/>
  <c r="D45" i="32" s="1"/>
  <c r="H44" i="32"/>
  <c r="F50" i="49"/>
  <c r="B105" i="2"/>
  <c r="B106" i="2" s="1"/>
  <c r="B107" i="2" s="1"/>
  <c r="B108" i="2" s="1"/>
  <c r="B109" i="2" s="1"/>
  <c r="F48" i="32"/>
  <c r="A99" i="41"/>
  <c r="A100" i="41" s="1"/>
  <c r="K45" i="49"/>
  <c r="D46" i="49" s="1"/>
  <c r="H45" i="49"/>
  <c r="E109" i="2" l="1"/>
  <c r="K45" i="47"/>
  <c r="D46" i="47" s="1"/>
  <c r="H45" i="47"/>
  <c r="F48" i="47"/>
  <c r="A101" i="41"/>
  <c r="B103" i="41"/>
  <c r="B101" i="41"/>
  <c r="B111" i="2"/>
  <c r="B113" i="2" s="1"/>
  <c r="B115" i="2" s="1"/>
  <c r="B117" i="2" s="1"/>
  <c r="B118" i="2" s="1"/>
  <c r="F49" i="32"/>
  <c r="K45" i="32"/>
  <c r="D46" i="32" s="1"/>
  <c r="H45" i="32"/>
  <c r="K46" i="49"/>
  <c r="D47" i="49" s="1"/>
  <c r="H46" i="49"/>
  <c r="B100" i="41"/>
  <c r="F49" i="47" l="1"/>
  <c r="K46" i="47"/>
  <c r="D47" i="47" s="1"/>
  <c r="H46" i="47"/>
  <c r="F50" i="32"/>
  <c r="K47" i="49"/>
  <c r="D48" i="49" s="1"/>
  <c r="H47" i="49"/>
  <c r="K46" i="32"/>
  <c r="D47" i="32" s="1"/>
  <c r="H46" i="32"/>
  <c r="B119" i="2"/>
  <c r="B121" i="2" s="1"/>
  <c r="B122" i="2" s="1"/>
  <c r="B123" i="2" s="1"/>
  <c r="B124" i="2" s="1"/>
  <c r="B125" i="2" s="1"/>
  <c r="B126" i="2" s="1"/>
  <c r="B127" i="2" s="1"/>
  <c r="A103" i="41"/>
  <c r="B104" i="41"/>
  <c r="E127" i="2" l="1"/>
  <c r="K47" i="47"/>
  <c r="D48" i="47" s="1"/>
  <c r="H47" i="47"/>
  <c r="F50" i="47"/>
  <c r="A104" i="41"/>
  <c r="E262" i="2"/>
  <c r="K48" i="49"/>
  <c r="D49" i="49" s="1"/>
  <c r="H48" i="49"/>
  <c r="B129" i="2"/>
  <c r="D131" i="2" s="1"/>
  <c r="K47" i="32"/>
  <c r="D48" i="32" s="1"/>
  <c r="H47" i="32"/>
  <c r="K48" i="47" l="1"/>
  <c r="D49" i="47" s="1"/>
  <c r="H48" i="47"/>
  <c r="K48" i="32"/>
  <c r="D49" i="32" s="1"/>
  <c r="H48" i="32"/>
  <c r="K49" i="49"/>
  <c r="D50" i="49" s="1"/>
  <c r="H49" i="49"/>
  <c r="B131" i="2"/>
  <c r="D314" i="2"/>
  <c r="A105" i="41"/>
  <c r="B105" i="41"/>
  <c r="K49" i="47" l="1"/>
  <c r="D50" i="47" s="1"/>
  <c r="H49" i="47"/>
  <c r="K49" i="32"/>
  <c r="D50" i="32" s="1"/>
  <c r="H49" i="32"/>
  <c r="K50" i="49"/>
  <c r="H50" i="49"/>
  <c r="H51" i="49" s="1"/>
  <c r="C28" i="20"/>
  <c r="B146" i="2"/>
  <c r="C28" i="13"/>
  <c r="K50" i="47" l="1"/>
  <c r="H50" i="47"/>
  <c r="H51" i="47" s="1"/>
  <c r="K50" i="32"/>
  <c r="H50" i="32"/>
  <c r="H51" i="32" s="1"/>
  <c r="B147" i="2"/>
  <c r="B148" i="2" s="1"/>
  <c r="B149" i="2" s="1"/>
  <c r="B150" i="2" s="1"/>
  <c r="B151" i="2" l="1"/>
  <c r="B152" i="2" s="1"/>
  <c r="E151" i="2"/>
  <c r="B153" i="2" l="1"/>
  <c r="E44" i="2"/>
  <c r="D309" i="2"/>
  <c r="B154" i="2" l="1"/>
  <c r="E155" i="2" s="1"/>
  <c r="B155" i="2" l="1"/>
  <c r="D311" i="2"/>
  <c r="E118" i="2" l="1"/>
  <c r="D308" i="2"/>
  <c r="B157" i="2"/>
  <c r="B158" i="2" l="1"/>
  <c r="E167" i="2" l="1"/>
  <c r="B159" i="2"/>
  <c r="B160" i="2" s="1"/>
  <c r="B161" i="2" s="1"/>
  <c r="B162" i="2" s="1"/>
  <c r="B163" i="2" s="1"/>
  <c r="B164" i="2" s="1"/>
  <c r="B165" i="2" s="1"/>
  <c r="E165" i="2" l="1"/>
  <c r="B167" i="2"/>
  <c r="B168" i="2" s="1"/>
  <c r="B169" i="2" s="1"/>
  <c r="B170" i="2" s="1"/>
  <c r="B171" i="2" s="1"/>
  <c r="B172" i="2" s="1"/>
  <c r="D312" i="2" l="1"/>
  <c r="B174" i="2"/>
  <c r="E174" i="2"/>
  <c r="E172" i="2"/>
  <c r="B175" i="2" l="1"/>
  <c r="E176" i="2" s="1"/>
  <c r="D327" i="2" l="1"/>
  <c r="E30" i="2"/>
  <c r="C48" i="13"/>
  <c r="C48" i="20"/>
  <c r="B176" i="2"/>
  <c r="D325" i="2"/>
  <c r="D322" i="2"/>
  <c r="B178" i="2" l="1"/>
  <c r="B179" i="2" s="1"/>
  <c r="B180" i="2" l="1"/>
  <c r="B181" i="2" s="1"/>
  <c r="C59" i="20" l="1"/>
  <c r="B182" i="2"/>
  <c r="B183" i="2" s="1"/>
  <c r="B185" i="2" s="1"/>
  <c r="C76" i="20"/>
  <c r="C59" i="13"/>
  <c r="C76" i="13"/>
  <c r="E34" i="2"/>
  <c r="E185" i="2" l="1"/>
  <c r="B187" i="2"/>
  <c r="B188" i="2" s="1"/>
  <c r="B189" i="2" s="1"/>
  <c r="B190" i="2" l="1"/>
  <c r="B191" i="2" s="1"/>
  <c r="B192" i="2" s="1"/>
  <c r="B193" i="2" s="1"/>
  <c r="B194" i="2" s="1"/>
  <c r="E194" i="2" l="1"/>
  <c r="B196" i="2"/>
  <c r="B197" i="2" s="1"/>
  <c r="B198" i="2" l="1"/>
  <c r="D201" i="2"/>
  <c r="C35" i="13" l="1"/>
  <c r="C35" i="20"/>
  <c r="B199" i="2"/>
  <c r="B200" i="2" s="1"/>
  <c r="B201" i="2" s="1"/>
  <c r="B202" i="2" l="1"/>
  <c r="E207" i="2" s="1"/>
  <c r="D353" i="2" l="1"/>
  <c r="B203" i="2"/>
  <c r="B204" i="2" l="1"/>
  <c r="E208" i="2"/>
  <c r="B206" i="2" l="1"/>
  <c r="E209" i="2"/>
  <c r="B207" i="2" l="1"/>
  <c r="B208" i="2" s="1"/>
  <c r="B209" i="2" s="1"/>
  <c r="B211" i="2" s="1"/>
  <c r="E211" i="2" l="1"/>
  <c r="C50" i="13"/>
  <c r="B213" i="2"/>
  <c r="E37" i="2" s="1"/>
  <c r="C50" i="20"/>
  <c r="C49" i="13" l="1"/>
  <c r="C49" i="20"/>
  <c r="B215" i="2"/>
  <c r="E206" i="2"/>
  <c r="B217" i="2" l="1"/>
  <c r="D316" i="2"/>
  <c r="D219" i="2" l="1"/>
  <c r="B219" i="2"/>
  <c r="B221" i="2" l="1"/>
  <c r="D222" i="2"/>
  <c r="E13" i="2" l="1"/>
  <c r="B234" i="2"/>
  <c r="B235" i="2" l="1"/>
  <c r="B236" i="2" s="1"/>
  <c r="B237" i="2" s="1"/>
  <c r="E237" i="2" l="1"/>
  <c r="B239" i="2"/>
  <c r="B248" i="2" s="1"/>
  <c r="B249" i="2" s="1"/>
  <c r="E68" i="2"/>
  <c r="E239" i="2"/>
  <c r="B250" i="2" l="1"/>
  <c r="B251" i="2" s="1"/>
  <c r="B253" i="2" s="1"/>
  <c r="B254" i="2" s="1"/>
  <c r="B255" i="2" s="1"/>
  <c r="B257" i="2" s="1"/>
  <c r="B260" i="2" s="1"/>
  <c r="B261" i="2" s="1"/>
  <c r="B262" i="2" l="1"/>
  <c r="B263" i="2" s="1"/>
  <c r="B264" i="2" s="1"/>
  <c r="E255" i="2"/>
  <c r="B265" i="2" l="1"/>
  <c r="D272" i="2" l="1"/>
  <c r="B266" i="2"/>
  <c r="B267" i="2" s="1"/>
  <c r="B268" i="2" s="1"/>
  <c r="E268" i="2" l="1"/>
  <c r="B270" i="2"/>
  <c r="B271" i="2" s="1"/>
  <c r="D273" i="2"/>
  <c r="D374" i="2" l="1"/>
  <c r="B272" i="2"/>
  <c r="B273" i="2" s="1"/>
  <c r="D274" i="2" s="1"/>
  <c r="B274" i="2" l="1"/>
  <c r="C16" i="20"/>
  <c r="C16" i="13"/>
  <c r="C19" i="13"/>
  <c r="C19" i="20"/>
  <c r="B276" i="2" l="1"/>
  <c r="B77" i="41"/>
  <c r="E213" i="2"/>
  <c r="D199" i="2"/>
  <c r="E61" i="38" l="1"/>
  <c r="C58" i="38"/>
  <c r="C61" i="38" l="1"/>
  <c r="M1036" i="13"/>
  <c r="N21" i="13" l="1"/>
  <c r="O1036" i="13"/>
  <c r="P21" i="13" l="1"/>
  <c r="G12" i="41" l="1"/>
  <c r="G20" i="41"/>
  <c r="G14" i="41"/>
  <c r="G22" i="41"/>
  <c r="G15" i="41"/>
  <c r="G13" i="41"/>
  <c r="G16" i="41"/>
  <c r="G17" i="41"/>
  <c r="G21" i="41"/>
  <c r="G18" i="41"/>
  <c r="G11" i="41"/>
  <c r="G19" i="41"/>
  <c r="E23" i="41" l="1"/>
  <c r="L266" i="2" s="1"/>
  <c r="G10" i="41"/>
  <c r="G23" i="41" s="1"/>
  <c r="L268" i="2" l="1"/>
  <c r="G273" i="2" s="1"/>
  <c r="G274" i="2" s="1"/>
  <c r="H272" i="2" s="1"/>
  <c r="E77" i="41" l="1"/>
  <c r="E79" i="41" s="1"/>
  <c r="H271" i="2"/>
  <c r="H273" i="2"/>
  <c r="I272" i="2"/>
  <c r="L272" i="2" s="1"/>
  <c r="D22" i="13"/>
  <c r="F22" i="13" s="1"/>
  <c r="D22" i="20"/>
  <c r="F22" i="20" s="1"/>
  <c r="I273" i="2" l="1"/>
  <c r="L273" i="2" s="1"/>
  <c r="D21" i="13"/>
  <c r="D21" i="20"/>
  <c r="D23" i="13"/>
  <c r="F23" i="13" s="1"/>
  <c r="D23" i="20"/>
  <c r="F23" i="20" s="1"/>
  <c r="I271" i="2"/>
  <c r="E62" i="35" l="1"/>
  <c r="L235" i="2" s="1"/>
  <c r="L237" i="2" s="1"/>
  <c r="L68" i="2" l="1"/>
  <c r="L239" i="2"/>
  <c r="L209" i="2"/>
  <c r="G209" i="2"/>
  <c r="J119" i="2" l="1"/>
  <c r="L119" i="2" s="1"/>
  <c r="J169" i="2"/>
  <c r="L169" i="2" s="1"/>
  <c r="J69" i="2"/>
  <c r="L69" i="2" s="1"/>
  <c r="L95" i="2" s="1"/>
  <c r="J168" i="2"/>
  <c r="J155" i="2"/>
  <c r="L155" i="2" s="1"/>
  <c r="L118" i="2" s="1"/>
  <c r="J250" i="2"/>
  <c r="L250" i="2" s="1"/>
  <c r="L255" i="2" s="1"/>
  <c r="L257" i="2" s="1"/>
  <c r="G75" i="20"/>
  <c r="G77" i="20" s="1"/>
  <c r="G78" i="20" s="1"/>
  <c r="G79" i="20" s="1"/>
  <c r="H75" i="13"/>
  <c r="H77" i="13" s="1"/>
  <c r="H78" i="13" s="1"/>
  <c r="H79" i="13" s="1"/>
  <c r="J78" i="2"/>
  <c r="F39" i="20"/>
  <c r="E39" i="13"/>
  <c r="D1044" i="13" l="1"/>
  <c r="J1045" i="13" s="1"/>
  <c r="E1048" i="13" s="1"/>
  <c r="F1048" i="13" s="1"/>
  <c r="D1130" i="13"/>
  <c r="J1131" i="13" s="1"/>
  <c r="E1134" i="13" s="1"/>
  <c r="F1134" i="13" s="1"/>
  <c r="D356" i="13"/>
  <c r="J357" i="13" s="1"/>
  <c r="E360" i="13" s="1"/>
  <c r="F360" i="13" s="1"/>
  <c r="D614" i="13"/>
  <c r="J615" i="13" s="1"/>
  <c r="E618" i="13" s="1"/>
  <c r="F618" i="13" s="1"/>
  <c r="D528" i="13"/>
  <c r="J529" i="13" s="1"/>
  <c r="E532" i="13" s="1"/>
  <c r="F532" i="13" s="1"/>
  <c r="D442" i="13"/>
  <c r="J443" i="13" s="1"/>
  <c r="E446" i="13" s="1"/>
  <c r="F446" i="13" s="1"/>
  <c r="D1304" i="13"/>
  <c r="J1305" i="13" s="1"/>
  <c r="E1308" i="13" s="1"/>
  <c r="D872" i="13"/>
  <c r="J873" i="13" s="1"/>
  <c r="E876" i="13" s="1"/>
  <c r="F876" i="13" s="1"/>
  <c r="D270" i="13"/>
  <c r="J271" i="13" s="1"/>
  <c r="E274" i="13" s="1"/>
  <c r="D1217" i="13"/>
  <c r="J1218" i="13" s="1"/>
  <c r="E1221" i="13" s="1"/>
  <c r="F1221" i="13" s="1"/>
  <c r="D700" i="13"/>
  <c r="J701" i="13" s="1"/>
  <c r="E704" i="13" s="1"/>
  <c r="F704" i="13" s="1"/>
  <c r="D184" i="13"/>
  <c r="J185" i="13" s="1"/>
  <c r="E188" i="13" s="1"/>
  <c r="F188" i="13" s="1"/>
  <c r="D786" i="13"/>
  <c r="J787" i="13" s="1"/>
  <c r="E790" i="13" s="1"/>
  <c r="F790" i="13" s="1"/>
  <c r="D958" i="13"/>
  <c r="J959" i="13" s="1"/>
  <c r="E962" i="13" s="1"/>
  <c r="F962" i="13" s="1"/>
  <c r="D98" i="13"/>
  <c r="J99" i="13" s="1"/>
  <c r="E102" i="13" s="1"/>
  <c r="F102" i="13" s="1"/>
  <c r="F64" i="13"/>
  <c r="G64" i="20"/>
  <c r="D989" i="20"/>
  <c r="I990" i="20" s="1"/>
  <c r="E993" i="20" s="1"/>
  <c r="F993" i="20" s="1"/>
  <c r="D994" i="20" s="1"/>
  <c r="E994" i="20" s="1"/>
  <c r="F994" i="20" s="1"/>
  <c r="D995" i="20" s="1"/>
  <c r="E995" i="20" s="1"/>
  <c r="F995" i="20" s="1"/>
  <c r="D996" i="20" s="1"/>
  <c r="E996" i="20" s="1"/>
  <c r="F996" i="20" s="1"/>
  <c r="D997" i="20" s="1"/>
  <c r="E997" i="20" s="1"/>
  <c r="F997" i="20" s="1"/>
  <c r="D998" i="20" s="1"/>
  <c r="E998" i="20" s="1"/>
  <c r="F998" i="20" s="1"/>
  <c r="D999" i="20" s="1"/>
  <c r="E999" i="20" s="1"/>
  <c r="F999" i="20" s="1"/>
  <c r="D1000" i="20" s="1"/>
  <c r="E1000" i="20" s="1"/>
  <c r="F1000" i="20" s="1"/>
  <c r="D1001" i="20" s="1"/>
  <c r="E1001" i="20" s="1"/>
  <c r="F1001" i="20" s="1"/>
  <c r="D1002" i="20" s="1"/>
  <c r="E1002" i="20" s="1"/>
  <c r="F1002" i="20" s="1"/>
  <c r="D1003" i="20" s="1"/>
  <c r="E1003" i="20" s="1"/>
  <c r="F1003" i="20" s="1"/>
  <c r="D1004" i="20" s="1"/>
  <c r="E1004" i="20" s="1"/>
  <c r="F1004" i="20" s="1"/>
  <c r="D1005" i="20" s="1"/>
  <c r="E1005" i="20" s="1"/>
  <c r="F1005" i="20" s="1"/>
  <c r="D1006" i="20" s="1"/>
  <c r="E1006" i="20" s="1"/>
  <c r="F1006" i="20" s="1"/>
  <c r="D1007" i="20" s="1"/>
  <c r="E1007" i="20" s="1"/>
  <c r="F1007" i="20" s="1"/>
  <c r="D1008" i="20" s="1"/>
  <c r="E1008" i="20" s="1"/>
  <c r="F1008" i="20" s="1"/>
  <c r="D1009" i="20" s="1"/>
  <c r="E1009" i="20" s="1"/>
  <c r="F1009" i="20" s="1"/>
  <c r="D1010" i="20" s="1"/>
  <c r="D455" i="20"/>
  <c r="I456" i="20" s="1"/>
  <c r="E459" i="20" s="1"/>
  <c r="F459" i="20" s="1"/>
  <c r="D460" i="20" s="1"/>
  <c r="D722" i="20"/>
  <c r="I723" i="20" s="1"/>
  <c r="E726" i="20" s="1"/>
  <c r="F726" i="20" s="1"/>
  <c r="D727" i="20" s="1"/>
  <c r="E727" i="20" s="1"/>
  <c r="F727" i="20" s="1"/>
  <c r="D728" i="20" s="1"/>
  <c r="E728" i="20" s="1"/>
  <c r="F728" i="20" s="1"/>
  <c r="D729" i="20" s="1"/>
  <c r="E729" i="20" s="1"/>
  <c r="F729" i="20" s="1"/>
  <c r="D730" i="20" s="1"/>
  <c r="E730" i="20" s="1"/>
  <c r="F730" i="20" s="1"/>
  <c r="D731" i="20" s="1"/>
  <c r="E731" i="20" s="1"/>
  <c r="F731" i="20" s="1"/>
  <c r="D732" i="20" s="1"/>
  <c r="E732" i="20" s="1"/>
  <c r="F732" i="20" s="1"/>
  <c r="D733" i="20" s="1"/>
  <c r="E733" i="20" s="1"/>
  <c r="F733" i="20" s="1"/>
  <c r="D734" i="20" s="1"/>
  <c r="E734" i="20" s="1"/>
  <c r="F734" i="20" s="1"/>
  <c r="D735" i="20" s="1"/>
  <c r="E735" i="20" s="1"/>
  <c r="F735" i="20" s="1"/>
  <c r="D736" i="20" s="1"/>
  <c r="E736" i="20" s="1"/>
  <c r="F736" i="20" s="1"/>
  <c r="D737" i="20" s="1"/>
  <c r="E737" i="20" s="1"/>
  <c r="F737" i="20" s="1"/>
  <c r="D738" i="20" s="1"/>
  <c r="E738" i="20" s="1"/>
  <c r="F738" i="20" s="1"/>
  <c r="D739" i="20" s="1"/>
  <c r="E739" i="20" s="1"/>
  <c r="F739" i="20" s="1"/>
  <c r="D740" i="20" s="1"/>
  <c r="E740" i="20" s="1"/>
  <c r="F740" i="20" s="1"/>
  <c r="D741" i="20" s="1"/>
  <c r="E741" i="20" s="1"/>
  <c r="F741" i="20" s="1"/>
  <c r="D742" i="20" s="1"/>
  <c r="E742" i="20" s="1"/>
  <c r="F742" i="20" s="1"/>
  <c r="D743" i="20" s="1"/>
  <c r="E743" i="20" s="1"/>
  <c r="F743" i="20" s="1"/>
  <c r="D744" i="20" s="1"/>
  <c r="E744" i="20" s="1"/>
  <c r="F744" i="20" s="1"/>
  <c r="D745" i="20" s="1"/>
  <c r="E745" i="20" s="1"/>
  <c r="F745" i="20" s="1"/>
  <c r="D746" i="20" s="1"/>
  <c r="E746" i="20" s="1"/>
  <c r="F746" i="20" s="1"/>
  <c r="D747" i="20" s="1"/>
  <c r="E747" i="20" s="1"/>
  <c r="F747" i="20" s="1"/>
  <c r="D748" i="20" s="1"/>
  <c r="E748" i="20" s="1"/>
  <c r="F748" i="20" s="1"/>
  <c r="D749" i="20" s="1"/>
  <c r="E749" i="20" s="1"/>
  <c r="F749" i="20" s="1"/>
  <c r="D750" i="20" s="1"/>
  <c r="E750" i="20" s="1"/>
  <c r="F750" i="20" s="1"/>
  <c r="D751" i="20" s="1"/>
  <c r="E751" i="20" s="1"/>
  <c r="F751" i="20" s="1"/>
  <c r="D752" i="20" s="1"/>
  <c r="E752" i="20" s="1"/>
  <c r="F752" i="20" s="1"/>
  <c r="D753" i="20" s="1"/>
  <c r="E753" i="20" s="1"/>
  <c r="F753" i="20" s="1"/>
  <c r="D754" i="20" s="1"/>
  <c r="E754" i="20" s="1"/>
  <c r="F754" i="20" s="1"/>
  <c r="D755" i="20" s="1"/>
  <c r="E755" i="20" s="1"/>
  <c r="F755" i="20" s="1"/>
  <c r="D756" i="20" s="1"/>
  <c r="E756" i="20" s="1"/>
  <c r="F756" i="20" s="1"/>
  <c r="D757" i="20" s="1"/>
  <c r="E757" i="20" s="1"/>
  <c r="F757" i="20" s="1"/>
  <c r="D758" i="20" s="1"/>
  <c r="E758" i="20" s="1"/>
  <c r="F758" i="20" s="1"/>
  <c r="D759" i="20" s="1"/>
  <c r="E759" i="20" s="1"/>
  <c r="F759" i="20" s="1"/>
  <c r="D760" i="20" s="1"/>
  <c r="E760" i="20" s="1"/>
  <c r="F760" i="20" s="1"/>
  <c r="D761" i="20" s="1"/>
  <c r="E761" i="20" s="1"/>
  <c r="F761" i="20" s="1"/>
  <c r="D762" i="20" s="1"/>
  <c r="E762" i="20" s="1"/>
  <c r="F762" i="20" s="1"/>
  <c r="D763" i="20" s="1"/>
  <c r="E763" i="20" s="1"/>
  <c r="F763" i="20" s="1"/>
  <c r="D764" i="20" s="1"/>
  <c r="E764" i="20" s="1"/>
  <c r="F764" i="20" s="1"/>
  <c r="D765" i="20" s="1"/>
  <c r="E765" i="20" s="1"/>
  <c r="F765" i="20" s="1"/>
  <c r="D766" i="20" s="1"/>
  <c r="E766" i="20" s="1"/>
  <c r="F766" i="20" s="1"/>
  <c r="D767" i="20" s="1"/>
  <c r="E767" i="20" s="1"/>
  <c r="F767" i="20" s="1"/>
  <c r="D768" i="20" s="1"/>
  <c r="E768" i="20" s="1"/>
  <c r="F768" i="20" s="1"/>
  <c r="D769" i="20" s="1"/>
  <c r="E769" i="20" s="1"/>
  <c r="F769" i="20" s="1"/>
  <c r="D770" i="20" s="1"/>
  <c r="E770" i="20" s="1"/>
  <c r="F770" i="20" s="1"/>
  <c r="D771" i="20" s="1"/>
  <c r="E771" i="20" s="1"/>
  <c r="F771" i="20" s="1"/>
  <c r="D772" i="20" s="1"/>
  <c r="E772" i="20" s="1"/>
  <c r="F772" i="20" s="1"/>
  <c r="D773" i="20" s="1"/>
  <c r="E773" i="20" s="1"/>
  <c r="F773" i="20" s="1"/>
  <c r="D774" i="20" s="1"/>
  <c r="E774" i="20" s="1"/>
  <c r="F774" i="20" s="1"/>
  <c r="D775" i="20" s="1"/>
  <c r="E775" i="20" s="1"/>
  <c r="F775" i="20" s="1"/>
  <c r="D776" i="20" s="1"/>
  <c r="E776" i="20" s="1"/>
  <c r="F776" i="20" s="1"/>
  <c r="D777" i="20" s="1"/>
  <c r="E777" i="20" s="1"/>
  <c r="F777" i="20" s="1"/>
  <c r="D778" i="20" s="1"/>
  <c r="E778" i="20" s="1"/>
  <c r="F778" i="20" s="1"/>
  <c r="D779" i="20" s="1"/>
  <c r="E779" i="20" s="1"/>
  <c r="F779" i="20" s="1"/>
  <c r="D780" i="20" s="1"/>
  <c r="E780" i="20" s="1"/>
  <c r="F780" i="20" s="1"/>
  <c r="D781" i="20" s="1"/>
  <c r="E781" i="20" s="1"/>
  <c r="F781" i="20" s="1"/>
  <c r="D782" i="20" s="1"/>
  <c r="E782" i="20" s="1"/>
  <c r="F782" i="20" s="1"/>
  <c r="D783" i="20" s="1"/>
  <c r="E783" i="20" s="1"/>
  <c r="F783" i="20" s="1"/>
  <c r="D784" i="20" s="1"/>
  <c r="E784" i="20" s="1"/>
  <c r="F784" i="20" s="1"/>
  <c r="D785" i="20" s="1"/>
  <c r="D811" i="20"/>
  <c r="I812" i="20" s="1"/>
  <c r="E815" i="20" s="1"/>
  <c r="F815" i="20" s="1"/>
  <c r="D816" i="20" s="1"/>
  <c r="E816" i="20" s="1"/>
  <c r="F816" i="20" s="1"/>
  <c r="D817" i="20" s="1"/>
  <c r="E817" i="20" s="1"/>
  <c r="F817" i="20" s="1"/>
  <c r="D818" i="20" s="1"/>
  <c r="E818" i="20" s="1"/>
  <c r="F818" i="20" s="1"/>
  <c r="D819" i="20" s="1"/>
  <c r="E819" i="20" s="1"/>
  <c r="F819" i="20" s="1"/>
  <c r="D820" i="20" s="1"/>
  <c r="E820" i="20" s="1"/>
  <c r="F820" i="20" s="1"/>
  <c r="D821" i="20" s="1"/>
  <c r="E821" i="20" s="1"/>
  <c r="F821" i="20" s="1"/>
  <c r="D822" i="20" s="1"/>
  <c r="E822" i="20" s="1"/>
  <c r="F822" i="20" s="1"/>
  <c r="D823" i="20" s="1"/>
  <c r="E823" i="20" s="1"/>
  <c r="F823" i="20" s="1"/>
  <c r="D824" i="20" s="1"/>
  <c r="E824" i="20" s="1"/>
  <c r="F824" i="20" s="1"/>
  <c r="D825" i="20" s="1"/>
  <c r="E825" i="20" s="1"/>
  <c r="F825" i="20" s="1"/>
  <c r="D826" i="20" s="1"/>
  <c r="E826" i="20" s="1"/>
  <c r="F826" i="20" s="1"/>
  <c r="D827" i="20" s="1"/>
  <c r="E827" i="20" s="1"/>
  <c r="F827" i="20" s="1"/>
  <c r="D828" i="20" s="1"/>
  <c r="E828" i="20" s="1"/>
  <c r="F828" i="20" s="1"/>
  <c r="D829" i="20" s="1"/>
  <c r="E829" i="20" s="1"/>
  <c r="F829" i="20" s="1"/>
  <c r="D830" i="20" s="1"/>
  <c r="E830" i="20" s="1"/>
  <c r="F830" i="20" s="1"/>
  <c r="D831" i="20" s="1"/>
  <c r="E831" i="20" s="1"/>
  <c r="F831" i="20" s="1"/>
  <c r="D832" i="20" s="1"/>
  <c r="E832" i="20" s="1"/>
  <c r="F832" i="20" s="1"/>
  <c r="D833" i="20" s="1"/>
  <c r="E833" i="20" s="1"/>
  <c r="F833" i="20" s="1"/>
  <c r="D834" i="20" s="1"/>
  <c r="E834" i="20" s="1"/>
  <c r="F834" i="20" s="1"/>
  <c r="D835" i="20" s="1"/>
  <c r="E835" i="20" s="1"/>
  <c r="F835" i="20" s="1"/>
  <c r="D836" i="20" s="1"/>
  <c r="E836" i="20" s="1"/>
  <c r="F836" i="20" s="1"/>
  <c r="D837" i="20" s="1"/>
  <c r="E837" i="20" s="1"/>
  <c r="F837" i="20" s="1"/>
  <c r="D838" i="20" s="1"/>
  <c r="E838" i="20" s="1"/>
  <c r="F838" i="20" s="1"/>
  <c r="D839" i="20" s="1"/>
  <c r="E839" i="20" s="1"/>
  <c r="F839" i="20" s="1"/>
  <c r="D840" i="20" s="1"/>
  <c r="E840" i="20" s="1"/>
  <c r="F840" i="20" s="1"/>
  <c r="D841" i="20" s="1"/>
  <c r="E841" i="20" s="1"/>
  <c r="F841" i="20" s="1"/>
  <c r="D842" i="20" s="1"/>
  <c r="E842" i="20" s="1"/>
  <c r="F842" i="20" s="1"/>
  <c r="D843" i="20" s="1"/>
  <c r="E843" i="20" s="1"/>
  <c r="F843" i="20" s="1"/>
  <c r="D844" i="20" s="1"/>
  <c r="E844" i="20" s="1"/>
  <c r="F844" i="20" s="1"/>
  <c r="D845" i="20" s="1"/>
  <c r="E845" i="20" s="1"/>
  <c r="F845" i="20" s="1"/>
  <c r="D846" i="20" s="1"/>
  <c r="E846" i="20" s="1"/>
  <c r="F846" i="20" s="1"/>
  <c r="D847" i="20" s="1"/>
  <c r="E847" i="20" s="1"/>
  <c r="F847" i="20" s="1"/>
  <c r="D848" i="20" s="1"/>
  <c r="E848" i="20" s="1"/>
  <c r="F848" i="20" s="1"/>
  <c r="D849" i="20" s="1"/>
  <c r="E849" i="20" s="1"/>
  <c r="F849" i="20" s="1"/>
  <c r="D850" i="20" s="1"/>
  <c r="E850" i="20" s="1"/>
  <c r="F850" i="20" s="1"/>
  <c r="D851" i="20" s="1"/>
  <c r="E851" i="20" s="1"/>
  <c r="F851" i="20" s="1"/>
  <c r="D852" i="20" s="1"/>
  <c r="E852" i="20" s="1"/>
  <c r="F852" i="20" s="1"/>
  <c r="D853" i="20" s="1"/>
  <c r="E853" i="20" s="1"/>
  <c r="F853" i="20" s="1"/>
  <c r="D854" i="20" s="1"/>
  <c r="E854" i="20" s="1"/>
  <c r="F854" i="20" s="1"/>
  <c r="D855" i="20" s="1"/>
  <c r="E855" i="20" s="1"/>
  <c r="F855" i="20" s="1"/>
  <c r="D856" i="20" s="1"/>
  <c r="E856" i="20" s="1"/>
  <c r="F856" i="20" s="1"/>
  <c r="D857" i="20" s="1"/>
  <c r="E857" i="20" s="1"/>
  <c r="F857" i="20" s="1"/>
  <c r="D858" i="20" s="1"/>
  <c r="E858" i="20" s="1"/>
  <c r="F858" i="20" s="1"/>
  <c r="D859" i="20" s="1"/>
  <c r="E859" i="20" s="1"/>
  <c r="F859" i="20" s="1"/>
  <c r="D860" i="20" s="1"/>
  <c r="E860" i="20" s="1"/>
  <c r="F860" i="20" s="1"/>
  <c r="D861" i="20" s="1"/>
  <c r="E861" i="20" s="1"/>
  <c r="F861" i="20" s="1"/>
  <c r="D862" i="20" s="1"/>
  <c r="E862" i="20" s="1"/>
  <c r="F862" i="20" s="1"/>
  <c r="D863" i="20" s="1"/>
  <c r="E863" i="20" s="1"/>
  <c r="F863" i="20" s="1"/>
  <c r="D864" i="20" s="1"/>
  <c r="E864" i="20" s="1"/>
  <c r="F864" i="20" s="1"/>
  <c r="D865" i="20" s="1"/>
  <c r="E865" i="20" s="1"/>
  <c r="F865" i="20" s="1"/>
  <c r="D866" i="20" s="1"/>
  <c r="E866" i="20" s="1"/>
  <c r="F866" i="20" s="1"/>
  <c r="D867" i="20" s="1"/>
  <c r="E867" i="20" s="1"/>
  <c r="F867" i="20" s="1"/>
  <c r="D868" i="20" s="1"/>
  <c r="E868" i="20" s="1"/>
  <c r="F868" i="20" s="1"/>
  <c r="D869" i="20" s="1"/>
  <c r="E869" i="20" s="1"/>
  <c r="F869" i="20" s="1"/>
  <c r="D870" i="20" s="1"/>
  <c r="E870" i="20" s="1"/>
  <c r="F870" i="20" s="1"/>
  <c r="D871" i="20" s="1"/>
  <c r="E871" i="20" s="1"/>
  <c r="F871" i="20" s="1"/>
  <c r="D872" i="20" s="1"/>
  <c r="E872" i="20" s="1"/>
  <c r="F872" i="20" s="1"/>
  <c r="D873" i="20" s="1"/>
  <c r="E873" i="20" s="1"/>
  <c r="F873" i="20" s="1"/>
  <c r="D874" i="20" s="1"/>
  <c r="D544" i="20"/>
  <c r="I545" i="20" s="1"/>
  <c r="E548" i="20" s="1"/>
  <c r="F548" i="20" s="1"/>
  <c r="D549" i="20" s="1"/>
  <c r="E549" i="20" s="1"/>
  <c r="F549" i="20" s="1"/>
  <c r="D550" i="20" s="1"/>
  <c r="E550" i="20" s="1"/>
  <c r="F550" i="20" s="1"/>
  <c r="D551" i="20" s="1"/>
  <c r="E551" i="20" s="1"/>
  <c r="F551" i="20" s="1"/>
  <c r="D552" i="20" s="1"/>
  <c r="E552" i="20" s="1"/>
  <c r="F552" i="20" s="1"/>
  <c r="D553" i="20" s="1"/>
  <c r="E553" i="20" s="1"/>
  <c r="F553" i="20" s="1"/>
  <c r="D554" i="20" s="1"/>
  <c r="E554" i="20" s="1"/>
  <c r="F554" i="20" s="1"/>
  <c r="D555" i="20" s="1"/>
  <c r="E555" i="20" s="1"/>
  <c r="F555" i="20" s="1"/>
  <c r="D556" i="20" s="1"/>
  <c r="E556" i="20" s="1"/>
  <c r="F556" i="20" s="1"/>
  <c r="D557" i="20" s="1"/>
  <c r="E557" i="20" s="1"/>
  <c r="F557" i="20" s="1"/>
  <c r="D558" i="20" s="1"/>
  <c r="E558" i="20" s="1"/>
  <c r="F558" i="20" s="1"/>
  <c r="D559" i="20" s="1"/>
  <c r="E559" i="20" s="1"/>
  <c r="F559" i="20" s="1"/>
  <c r="D560" i="20" s="1"/>
  <c r="E560" i="20" s="1"/>
  <c r="F560" i="20" s="1"/>
  <c r="D561" i="20" s="1"/>
  <c r="E561" i="20" s="1"/>
  <c r="F561" i="20" s="1"/>
  <c r="D562" i="20" s="1"/>
  <c r="E562" i="20" s="1"/>
  <c r="F562" i="20" s="1"/>
  <c r="D563" i="20" s="1"/>
  <c r="E563" i="20" s="1"/>
  <c r="F563" i="20" s="1"/>
  <c r="D564" i="20" s="1"/>
  <c r="E564" i="20" s="1"/>
  <c r="F564" i="20" s="1"/>
  <c r="D565" i="20" s="1"/>
  <c r="D1078" i="20"/>
  <c r="I1079" i="20" s="1"/>
  <c r="E1082" i="20" s="1"/>
  <c r="F1082" i="20" s="1"/>
  <c r="D1083" i="20" s="1"/>
  <c r="E1083" i="20" s="1"/>
  <c r="F1083" i="20" s="1"/>
  <c r="D1084" i="20" s="1"/>
  <c r="E1084" i="20" s="1"/>
  <c r="F1084" i="20" s="1"/>
  <c r="D1085" i="20" s="1"/>
  <c r="E1085" i="20" s="1"/>
  <c r="F1085" i="20" s="1"/>
  <c r="D1086" i="20" s="1"/>
  <c r="E1086" i="20" s="1"/>
  <c r="F1086" i="20" s="1"/>
  <c r="D1087" i="20" s="1"/>
  <c r="E1087" i="20" s="1"/>
  <c r="F1087" i="20" s="1"/>
  <c r="D1088" i="20" s="1"/>
  <c r="E1088" i="20" s="1"/>
  <c r="F1088" i="20" s="1"/>
  <c r="D1089" i="20" s="1"/>
  <c r="E1089" i="20" s="1"/>
  <c r="F1089" i="20" s="1"/>
  <c r="D1090" i="20" s="1"/>
  <c r="E1090" i="20" s="1"/>
  <c r="F1090" i="20" s="1"/>
  <c r="D1091" i="20" s="1"/>
  <c r="E1091" i="20" s="1"/>
  <c r="F1091" i="20" s="1"/>
  <c r="D1092" i="20" s="1"/>
  <c r="E1092" i="20" s="1"/>
  <c r="F1092" i="20" s="1"/>
  <c r="D1093" i="20" s="1"/>
  <c r="E1093" i="20" s="1"/>
  <c r="F1093" i="20" s="1"/>
  <c r="D1094" i="20" s="1"/>
  <c r="E1094" i="20" s="1"/>
  <c r="F1094" i="20" s="1"/>
  <c r="D1095" i="20" s="1"/>
  <c r="D633" i="20"/>
  <c r="I634" i="20" s="1"/>
  <c r="E637" i="20" s="1"/>
  <c r="F637" i="20" s="1"/>
  <c r="D638" i="20" s="1"/>
  <c r="E638" i="20" s="1"/>
  <c r="F638" i="20" s="1"/>
  <c r="D639" i="20" s="1"/>
  <c r="E639" i="20" s="1"/>
  <c r="F639" i="20" s="1"/>
  <c r="D640" i="20" s="1"/>
  <c r="D188" i="20"/>
  <c r="I189" i="20" s="1"/>
  <c r="E192" i="20" s="1"/>
  <c r="F192" i="20" s="1"/>
  <c r="D193" i="20" s="1"/>
  <c r="E193" i="20" s="1"/>
  <c r="F193" i="20" s="1"/>
  <c r="D194" i="20" s="1"/>
  <c r="E194" i="20" s="1"/>
  <c r="F194" i="20" s="1"/>
  <c r="D195" i="20" s="1"/>
  <c r="E195" i="20" s="1"/>
  <c r="F195" i="20" s="1"/>
  <c r="D196" i="20" s="1"/>
  <c r="E196" i="20" s="1"/>
  <c r="F196" i="20" s="1"/>
  <c r="D197" i="20" s="1"/>
  <c r="E197" i="20" s="1"/>
  <c r="F197" i="20" s="1"/>
  <c r="D198" i="20" s="1"/>
  <c r="E198" i="20" s="1"/>
  <c r="F198" i="20" s="1"/>
  <c r="D199" i="20" s="1"/>
  <c r="E199" i="20" s="1"/>
  <c r="F199" i="20" s="1"/>
  <c r="D200" i="20" s="1"/>
  <c r="E200" i="20" s="1"/>
  <c r="F200" i="20" s="1"/>
  <c r="D201" i="20" s="1"/>
  <c r="E201" i="20" s="1"/>
  <c r="F201" i="20" s="1"/>
  <c r="D202" i="20" s="1"/>
  <c r="E202" i="20" s="1"/>
  <c r="F202" i="20" s="1"/>
  <c r="D203" i="20" s="1"/>
  <c r="E203" i="20" s="1"/>
  <c r="F203" i="20" s="1"/>
  <c r="D204" i="20" s="1"/>
  <c r="E204" i="20" s="1"/>
  <c r="F204" i="20" s="1"/>
  <c r="D205" i="20" s="1"/>
  <c r="E205" i="20" s="1"/>
  <c r="F205" i="20" s="1"/>
  <c r="D206" i="20" s="1"/>
  <c r="E206" i="20" s="1"/>
  <c r="F206" i="20" s="1"/>
  <c r="D207" i="20" s="1"/>
  <c r="E207" i="20" s="1"/>
  <c r="F207" i="20" s="1"/>
  <c r="D208" i="20" s="1"/>
  <c r="E208" i="20" s="1"/>
  <c r="F208" i="20" s="1"/>
  <c r="D209" i="20" s="1"/>
  <c r="E209" i="20" s="1"/>
  <c r="F209" i="20" s="1"/>
  <c r="D210" i="20" s="1"/>
  <c r="E210" i="20" s="1"/>
  <c r="F210" i="20" s="1"/>
  <c r="D211" i="20" s="1"/>
  <c r="E211" i="20" s="1"/>
  <c r="F211" i="20" s="1"/>
  <c r="D212" i="20" s="1"/>
  <c r="E212" i="20" s="1"/>
  <c r="F212" i="20" s="1"/>
  <c r="D213" i="20" s="1"/>
  <c r="E213" i="20" s="1"/>
  <c r="F213" i="20" s="1"/>
  <c r="D214" i="20" s="1"/>
  <c r="E214" i="20" s="1"/>
  <c r="F214" i="20" s="1"/>
  <c r="D215" i="20" s="1"/>
  <c r="E215" i="20" s="1"/>
  <c r="F215" i="20" s="1"/>
  <c r="D216" i="20" s="1"/>
  <c r="E216" i="20" s="1"/>
  <c r="F216" i="20" s="1"/>
  <c r="D217" i="20" s="1"/>
  <c r="E217" i="20" s="1"/>
  <c r="F217" i="20" s="1"/>
  <c r="D218" i="20" s="1"/>
  <c r="E218" i="20" s="1"/>
  <c r="F218" i="20" s="1"/>
  <c r="D219" i="20" s="1"/>
  <c r="E219" i="20" s="1"/>
  <c r="F219" i="20" s="1"/>
  <c r="D220" i="20" s="1"/>
  <c r="E220" i="20" s="1"/>
  <c r="F220" i="20" s="1"/>
  <c r="D221" i="20" s="1"/>
  <c r="E221" i="20" s="1"/>
  <c r="F221" i="20" s="1"/>
  <c r="D222" i="20" s="1"/>
  <c r="E222" i="20" s="1"/>
  <c r="F222" i="20" s="1"/>
  <c r="D223" i="20" s="1"/>
  <c r="E223" i="20" s="1"/>
  <c r="F223" i="20" s="1"/>
  <c r="D224" i="20" s="1"/>
  <c r="E224" i="20" s="1"/>
  <c r="F224" i="20" s="1"/>
  <c r="D225" i="20" s="1"/>
  <c r="E225" i="20" s="1"/>
  <c r="F225" i="20" s="1"/>
  <c r="D226" i="20" s="1"/>
  <c r="E226" i="20" s="1"/>
  <c r="F226" i="20" s="1"/>
  <c r="D227" i="20" s="1"/>
  <c r="E227" i="20" s="1"/>
  <c r="F227" i="20" s="1"/>
  <c r="D228" i="20" s="1"/>
  <c r="E228" i="20" s="1"/>
  <c r="F228" i="20" s="1"/>
  <c r="D229" i="20" s="1"/>
  <c r="E229" i="20" s="1"/>
  <c r="F229" i="20" s="1"/>
  <c r="D230" i="20" s="1"/>
  <c r="E230" i="20" s="1"/>
  <c r="F230" i="20" s="1"/>
  <c r="D231" i="20" s="1"/>
  <c r="E231" i="20" s="1"/>
  <c r="F231" i="20" s="1"/>
  <c r="D232" i="20" s="1"/>
  <c r="E232" i="20" s="1"/>
  <c r="F232" i="20" s="1"/>
  <c r="D233" i="20" s="1"/>
  <c r="E233" i="20" s="1"/>
  <c r="F233" i="20" s="1"/>
  <c r="D234" i="20" s="1"/>
  <c r="E234" i="20" s="1"/>
  <c r="F234" i="20" s="1"/>
  <c r="D235" i="20" s="1"/>
  <c r="E235" i="20" s="1"/>
  <c r="F235" i="20" s="1"/>
  <c r="D236" i="20" s="1"/>
  <c r="E236" i="20" s="1"/>
  <c r="F236" i="20" s="1"/>
  <c r="D237" i="20" s="1"/>
  <c r="E237" i="20" s="1"/>
  <c r="F237" i="20" s="1"/>
  <c r="D238" i="20" s="1"/>
  <c r="E238" i="20" s="1"/>
  <c r="F238" i="20" s="1"/>
  <c r="D239" i="20" s="1"/>
  <c r="E239" i="20" s="1"/>
  <c r="F239" i="20" s="1"/>
  <c r="D240" i="20" s="1"/>
  <c r="E240" i="20" s="1"/>
  <c r="F240" i="20" s="1"/>
  <c r="D241" i="20" s="1"/>
  <c r="E241" i="20" s="1"/>
  <c r="F241" i="20" s="1"/>
  <c r="D242" i="20" s="1"/>
  <c r="E242" i="20" s="1"/>
  <c r="F242" i="20" s="1"/>
  <c r="D243" i="20" s="1"/>
  <c r="E243" i="20" s="1"/>
  <c r="F243" i="20" s="1"/>
  <c r="D244" i="20" s="1"/>
  <c r="E244" i="20" s="1"/>
  <c r="F244" i="20" s="1"/>
  <c r="D245" i="20" s="1"/>
  <c r="E245" i="20" s="1"/>
  <c r="F245" i="20" s="1"/>
  <c r="D246" i="20" s="1"/>
  <c r="E246" i="20" s="1"/>
  <c r="F246" i="20" s="1"/>
  <c r="D247" i="20" s="1"/>
  <c r="E247" i="20" s="1"/>
  <c r="F247" i="20" s="1"/>
  <c r="D248" i="20" s="1"/>
  <c r="E248" i="20" s="1"/>
  <c r="F248" i="20" s="1"/>
  <c r="D249" i="20" s="1"/>
  <c r="E249" i="20" s="1"/>
  <c r="F249" i="20" s="1"/>
  <c r="D250" i="20" s="1"/>
  <c r="E250" i="20" s="1"/>
  <c r="F250" i="20" s="1"/>
  <c r="D251" i="20" s="1"/>
  <c r="D900" i="20"/>
  <c r="I901" i="20" s="1"/>
  <c r="E904" i="20" s="1"/>
  <c r="F904" i="20" s="1"/>
  <c r="D905" i="20" s="1"/>
  <c r="D366" i="20"/>
  <c r="I367" i="20" s="1"/>
  <c r="E370" i="20" s="1"/>
  <c r="F370" i="20" s="1"/>
  <c r="D371" i="20" s="1"/>
  <c r="D277" i="20"/>
  <c r="I278" i="20" s="1"/>
  <c r="E281" i="20" s="1"/>
  <c r="F281" i="20" s="1"/>
  <c r="D282" i="20" s="1"/>
  <c r="E282" i="20" s="1"/>
  <c r="F282" i="20" s="1"/>
  <c r="D283" i="20" s="1"/>
  <c r="E283" i="20" s="1"/>
  <c r="F283" i="20" s="1"/>
  <c r="D284" i="20" s="1"/>
  <c r="E284" i="20" s="1"/>
  <c r="F284" i="20" s="1"/>
  <c r="D285" i="20" s="1"/>
  <c r="E285" i="20" s="1"/>
  <c r="F285" i="20" s="1"/>
  <c r="D286" i="20" s="1"/>
  <c r="E286" i="20" s="1"/>
  <c r="F286" i="20" s="1"/>
  <c r="D287" i="20" s="1"/>
  <c r="E287" i="20" s="1"/>
  <c r="F287" i="20" s="1"/>
  <c r="D288" i="20" s="1"/>
  <c r="E288" i="20" s="1"/>
  <c r="F288" i="20" s="1"/>
  <c r="D289" i="20" s="1"/>
  <c r="E289" i="20" s="1"/>
  <c r="F289" i="20" s="1"/>
  <c r="D290" i="20" s="1"/>
  <c r="E290" i="20" s="1"/>
  <c r="F290" i="20" s="1"/>
  <c r="D291" i="20" s="1"/>
  <c r="E291" i="20" s="1"/>
  <c r="F291" i="20" s="1"/>
  <c r="D292" i="20" s="1"/>
  <c r="E292" i="20" s="1"/>
  <c r="F292" i="20" s="1"/>
  <c r="D293" i="20" s="1"/>
  <c r="E293" i="20" s="1"/>
  <c r="F293" i="20" s="1"/>
  <c r="D294" i="20" s="1"/>
  <c r="E294" i="20" s="1"/>
  <c r="F294" i="20" s="1"/>
  <c r="D295" i="20" s="1"/>
  <c r="E295" i="20" s="1"/>
  <c r="F295" i="20" s="1"/>
  <c r="D296" i="20" s="1"/>
  <c r="E296" i="20" s="1"/>
  <c r="F296" i="20" s="1"/>
  <c r="D297" i="20" s="1"/>
  <c r="E297" i="20" s="1"/>
  <c r="F297" i="20" s="1"/>
  <c r="D298" i="20" s="1"/>
  <c r="E298" i="20" s="1"/>
  <c r="F298" i="20" s="1"/>
  <c r="D299" i="20" s="1"/>
  <c r="E299" i="20" s="1"/>
  <c r="F299" i="20" s="1"/>
  <c r="D300" i="20" s="1"/>
  <c r="E300" i="20" s="1"/>
  <c r="F300" i="20" s="1"/>
  <c r="D301" i="20" s="1"/>
  <c r="E301" i="20" s="1"/>
  <c r="F301" i="20" s="1"/>
  <c r="D302" i="20" s="1"/>
  <c r="E302" i="20" s="1"/>
  <c r="F302" i="20" s="1"/>
  <c r="D303" i="20" s="1"/>
  <c r="E303" i="20" s="1"/>
  <c r="F303" i="20" s="1"/>
  <c r="D304" i="20" s="1"/>
  <c r="E304" i="20" s="1"/>
  <c r="F304" i="20" s="1"/>
  <c r="D305" i="20" s="1"/>
  <c r="E305" i="20" s="1"/>
  <c r="F305" i="20" s="1"/>
  <c r="D306" i="20" s="1"/>
  <c r="E306" i="20" s="1"/>
  <c r="F306" i="20" s="1"/>
  <c r="D307" i="20" s="1"/>
  <c r="E307" i="20" s="1"/>
  <c r="F307" i="20" s="1"/>
  <c r="D308" i="20" s="1"/>
  <c r="E308" i="20" s="1"/>
  <c r="F308" i="20" s="1"/>
  <c r="D309" i="20" s="1"/>
  <c r="E309" i="20" s="1"/>
  <c r="F309" i="20" s="1"/>
  <c r="D310" i="20" s="1"/>
  <c r="E310" i="20" s="1"/>
  <c r="F310" i="20" s="1"/>
  <c r="D311" i="20" s="1"/>
  <c r="E311" i="20" s="1"/>
  <c r="F311" i="20" s="1"/>
  <c r="D312" i="20" s="1"/>
  <c r="E312" i="20" s="1"/>
  <c r="F312" i="20" s="1"/>
  <c r="D313" i="20" s="1"/>
  <c r="E313" i="20" s="1"/>
  <c r="F313" i="20" s="1"/>
  <c r="D314" i="20" s="1"/>
  <c r="E314" i="20" s="1"/>
  <c r="F314" i="20" s="1"/>
  <c r="D315" i="20" s="1"/>
  <c r="E315" i="20" s="1"/>
  <c r="F315" i="20" s="1"/>
  <c r="D316" i="20" s="1"/>
  <c r="E316" i="20" s="1"/>
  <c r="F316" i="20" s="1"/>
  <c r="D317" i="20" s="1"/>
  <c r="E317" i="20" s="1"/>
  <c r="F317" i="20" s="1"/>
  <c r="D318" i="20" s="1"/>
  <c r="E318" i="20" s="1"/>
  <c r="F318" i="20" s="1"/>
  <c r="D319" i="20" s="1"/>
  <c r="E319" i="20" s="1"/>
  <c r="F319" i="20" s="1"/>
  <c r="D320" i="20" s="1"/>
  <c r="E320" i="20" s="1"/>
  <c r="F320" i="20" s="1"/>
  <c r="D321" i="20" s="1"/>
  <c r="E321" i="20" s="1"/>
  <c r="F321" i="20" s="1"/>
  <c r="D322" i="20" s="1"/>
  <c r="E322" i="20" s="1"/>
  <c r="F322" i="20" s="1"/>
  <c r="D323" i="20" s="1"/>
  <c r="E323" i="20" s="1"/>
  <c r="F323" i="20" s="1"/>
  <c r="D324" i="20" s="1"/>
  <c r="E324" i="20" s="1"/>
  <c r="F324" i="20" s="1"/>
  <c r="D325" i="20" s="1"/>
  <c r="E325" i="20" s="1"/>
  <c r="F325" i="20" s="1"/>
  <c r="D326" i="20" s="1"/>
  <c r="E326" i="20" s="1"/>
  <c r="F326" i="20" s="1"/>
  <c r="D327" i="20" s="1"/>
  <c r="E327" i="20" s="1"/>
  <c r="F327" i="20" s="1"/>
  <c r="D328" i="20" s="1"/>
  <c r="E328" i="20" s="1"/>
  <c r="F328" i="20" s="1"/>
  <c r="D329" i="20" s="1"/>
  <c r="E329" i="20" s="1"/>
  <c r="F329" i="20" s="1"/>
  <c r="D330" i="20" s="1"/>
  <c r="E330" i="20" s="1"/>
  <c r="F330" i="20" s="1"/>
  <c r="D331" i="20" s="1"/>
  <c r="E331" i="20" s="1"/>
  <c r="F331" i="20" s="1"/>
  <c r="D332" i="20" s="1"/>
  <c r="E332" i="20" s="1"/>
  <c r="F332" i="20" s="1"/>
  <c r="D333" i="20" s="1"/>
  <c r="E333" i="20" s="1"/>
  <c r="F333" i="20" s="1"/>
  <c r="D334" i="20" s="1"/>
  <c r="E334" i="20" s="1"/>
  <c r="F334" i="20" s="1"/>
  <c r="D335" i="20" s="1"/>
  <c r="E335" i="20" s="1"/>
  <c r="F335" i="20" s="1"/>
  <c r="D336" i="20" s="1"/>
  <c r="E336" i="20" s="1"/>
  <c r="F336" i="20" s="1"/>
  <c r="D337" i="20" s="1"/>
  <c r="E337" i="20" s="1"/>
  <c r="F337" i="20" s="1"/>
  <c r="D338" i="20" s="1"/>
  <c r="E338" i="20" s="1"/>
  <c r="F338" i="20" s="1"/>
  <c r="D339" i="20" s="1"/>
  <c r="E339" i="20" s="1"/>
  <c r="F339" i="20" s="1"/>
  <c r="D340" i="20" s="1"/>
  <c r="D98" i="20"/>
  <c r="I99" i="20" s="1"/>
  <c r="E102" i="20" s="1"/>
  <c r="F102" i="20" s="1"/>
  <c r="D103" i="20" s="1"/>
  <c r="E103" i="20" s="1"/>
  <c r="F103" i="20" s="1"/>
  <c r="D104" i="20" s="1"/>
  <c r="E104" i="20" s="1"/>
  <c r="F104" i="20" s="1"/>
  <c r="D105" i="20" s="1"/>
  <c r="D1167" i="20"/>
  <c r="I1168" i="20" s="1"/>
  <c r="E1171" i="20" s="1"/>
  <c r="F1171" i="20" s="1"/>
  <c r="D1172" i="20" s="1"/>
  <c r="E1172" i="20" s="1"/>
  <c r="F1172" i="20" s="1"/>
  <c r="D1173" i="20" s="1"/>
  <c r="E1173" i="20" s="1"/>
  <c r="F1173" i="20" s="1"/>
  <c r="D1174" i="20" s="1"/>
  <c r="E1174" i="20" s="1"/>
  <c r="F1174" i="20" s="1"/>
  <c r="D1175" i="20" s="1"/>
  <c r="J74" i="2"/>
  <c r="L74" i="2" s="1"/>
  <c r="J171" i="2"/>
  <c r="J189" i="2"/>
  <c r="L189" i="2" s="1"/>
  <c r="J183" i="2"/>
  <c r="L183" i="2" s="1"/>
  <c r="J121" i="2"/>
  <c r="L121" i="2" s="1"/>
  <c r="J88" i="2"/>
  <c r="L88" i="2" s="1"/>
  <c r="J165" i="2"/>
  <c r="J86" i="2"/>
  <c r="L86" i="2" s="1"/>
  <c r="J182" i="2"/>
  <c r="L182" i="2" s="1"/>
  <c r="J123" i="2"/>
  <c r="L123" i="2" s="1"/>
  <c r="J73" i="2"/>
  <c r="L73" i="2" s="1"/>
  <c r="J87" i="2"/>
  <c r="L87" i="2" s="1"/>
  <c r="J72" i="2"/>
  <c r="L72" i="2" s="1"/>
  <c r="J115" i="2"/>
  <c r="L115" i="2" s="1"/>
  <c r="L208" i="2"/>
  <c r="L185" i="2" l="1"/>
  <c r="E905" i="20"/>
  <c r="F905" i="20" s="1"/>
  <c r="D906" i="20" s="1"/>
  <c r="E906" i="20" s="1"/>
  <c r="F906" i="20" s="1"/>
  <c r="D907" i="20" s="1"/>
  <c r="E907" i="20" s="1"/>
  <c r="F907" i="20" s="1"/>
  <c r="D908" i="20" s="1"/>
  <c r="E908" i="20" s="1"/>
  <c r="F908" i="20" s="1"/>
  <c r="D909" i="20" s="1"/>
  <c r="E909" i="20" s="1"/>
  <c r="F909" i="20" s="1"/>
  <c r="D910" i="20" s="1"/>
  <c r="E910" i="20" s="1"/>
  <c r="F910" i="20" s="1"/>
  <c r="D911" i="20" s="1"/>
  <c r="E911" i="20" s="1"/>
  <c r="F911" i="20" s="1"/>
  <c r="D912" i="20" s="1"/>
  <c r="E912" i="20" s="1"/>
  <c r="F912" i="20" s="1"/>
  <c r="D913" i="20" s="1"/>
  <c r="E913" i="20" s="1"/>
  <c r="F913" i="20" s="1"/>
  <c r="D914" i="20" s="1"/>
  <c r="E914" i="20" s="1"/>
  <c r="F914" i="20" s="1"/>
  <c r="D915" i="20" s="1"/>
  <c r="E915" i="20" s="1"/>
  <c r="F915" i="20" s="1"/>
  <c r="D916" i="20" s="1"/>
  <c r="E916" i="20" s="1"/>
  <c r="F916" i="20" s="1"/>
  <c r="D917" i="20" s="1"/>
  <c r="E917" i="20" s="1"/>
  <c r="F917" i="20" s="1"/>
  <c r="D918" i="20" s="1"/>
  <c r="E918" i="20" s="1"/>
  <c r="F918" i="20" s="1"/>
  <c r="D919" i="20" s="1"/>
  <c r="E919" i="20" s="1"/>
  <c r="F919" i="20" s="1"/>
  <c r="D920" i="20" s="1"/>
  <c r="E920" i="20" s="1"/>
  <c r="F920" i="20" s="1"/>
  <c r="D921" i="20" s="1"/>
  <c r="E921" i="20" s="1"/>
  <c r="F921" i="20" s="1"/>
  <c r="D922" i="20" s="1"/>
  <c r="E922" i="20" s="1"/>
  <c r="F922" i="20" s="1"/>
  <c r="D923" i="20" s="1"/>
  <c r="E923" i="20" s="1"/>
  <c r="F923" i="20" s="1"/>
  <c r="D924" i="20" s="1"/>
  <c r="E924" i="20" s="1"/>
  <c r="F924" i="20" s="1"/>
  <c r="D925" i="20" s="1"/>
  <c r="E925" i="20" s="1"/>
  <c r="F925" i="20" s="1"/>
  <c r="D926" i="20" s="1"/>
  <c r="E926" i="20" s="1"/>
  <c r="F926" i="20" s="1"/>
  <c r="D927" i="20" s="1"/>
  <c r="E927" i="20" s="1"/>
  <c r="F927" i="20" s="1"/>
  <c r="D928" i="20" s="1"/>
  <c r="E928" i="20" s="1"/>
  <c r="F928" i="20" s="1"/>
  <c r="D929" i="20" s="1"/>
  <c r="E929" i="20" s="1"/>
  <c r="F929" i="20" s="1"/>
  <c r="D930" i="20" s="1"/>
  <c r="E930" i="20" s="1"/>
  <c r="F930" i="20" s="1"/>
  <c r="D931" i="20" s="1"/>
  <c r="E931" i="20" s="1"/>
  <c r="F931" i="20" s="1"/>
  <c r="D932" i="20" s="1"/>
  <c r="E932" i="20" s="1"/>
  <c r="F932" i="20" s="1"/>
  <c r="D933" i="20" s="1"/>
  <c r="E933" i="20" s="1"/>
  <c r="F933" i="20" s="1"/>
  <c r="D934" i="20" s="1"/>
  <c r="E934" i="20" s="1"/>
  <c r="F934" i="20" s="1"/>
  <c r="D935" i="20" s="1"/>
  <c r="E935" i="20" s="1"/>
  <c r="F935" i="20" s="1"/>
  <c r="D936" i="20" s="1"/>
  <c r="E936" i="20" s="1"/>
  <c r="F936" i="20" s="1"/>
  <c r="D937" i="20" s="1"/>
  <c r="E937" i="20" s="1"/>
  <c r="F937" i="20" s="1"/>
  <c r="D938" i="20" s="1"/>
  <c r="E938" i="20" s="1"/>
  <c r="F938" i="20" s="1"/>
  <c r="D939" i="20" s="1"/>
  <c r="E939" i="20" s="1"/>
  <c r="F939" i="20" s="1"/>
  <c r="D940" i="20" s="1"/>
  <c r="E940" i="20" s="1"/>
  <c r="F940" i="20" s="1"/>
  <c r="D941" i="20" s="1"/>
  <c r="E941" i="20" s="1"/>
  <c r="F941" i="20" s="1"/>
  <c r="D942" i="20" s="1"/>
  <c r="E942" i="20" s="1"/>
  <c r="F942" i="20" s="1"/>
  <c r="D943" i="20" s="1"/>
  <c r="E943" i="20" s="1"/>
  <c r="F943" i="20" s="1"/>
  <c r="D944" i="20" s="1"/>
  <c r="E944" i="20" s="1"/>
  <c r="F944" i="20" s="1"/>
  <c r="D945" i="20" s="1"/>
  <c r="E945" i="20" s="1"/>
  <c r="F945" i="20" s="1"/>
  <c r="D946" i="20" s="1"/>
  <c r="E946" i="20" s="1"/>
  <c r="F946" i="20" s="1"/>
  <c r="D947" i="20" s="1"/>
  <c r="E947" i="20" s="1"/>
  <c r="F947" i="20" s="1"/>
  <c r="D948" i="20" s="1"/>
  <c r="E948" i="20" s="1"/>
  <c r="F948" i="20" s="1"/>
  <c r="D949" i="20" s="1"/>
  <c r="E949" i="20" s="1"/>
  <c r="F949" i="20" s="1"/>
  <c r="D950" i="20" s="1"/>
  <c r="E950" i="20" s="1"/>
  <c r="F950" i="20" s="1"/>
  <c r="D951" i="20" s="1"/>
  <c r="E951" i="20" s="1"/>
  <c r="F951" i="20" s="1"/>
  <c r="D952" i="20" s="1"/>
  <c r="E952" i="20" s="1"/>
  <c r="F952" i="20" s="1"/>
  <c r="D953" i="20" s="1"/>
  <c r="E953" i="20" s="1"/>
  <c r="F953" i="20" s="1"/>
  <c r="D954" i="20" s="1"/>
  <c r="E954" i="20" s="1"/>
  <c r="F954" i="20" s="1"/>
  <c r="D955" i="20" s="1"/>
  <c r="E955" i="20" s="1"/>
  <c r="F955" i="20" s="1"/>
  <c r="D956" i="20" s="1"/>
  <c r="E956" i="20" s="1"/>
  <c r="F956" i="20" s="1"/>
  <c r="D957" i="20" s="1"/>
  <c r="E957" i="20" s="1"/>
  <c r="F957" i="20" s="1"/>
  <c r="D958" i="20" s="1"/>
  <c r="E958" i="20" s="1"/>
  <c r="F958" i="20" s="1"/>
  <c r="D959" i="20" s="1"/>
  <c r="E959" i="20" s="1"/>
  <c r="F959" i="20" s="1"/>
  <c r="D960" i="20" s="1"/>
  <c r="E960" i="20" s="1"/>
  <c r="F960" i="20" s="1"/>
  <c r="D961" i="20" s="1"/>
  <c r="E961" i="20" s="1"/>
  <c r="F961" i="20" s="1"/>
  <c r="D962" i="20" s="1"/>
  <c r="E962" i="20" s="1"/>
  <c r="F962" i="20" s="1"/>
  <c r="D963" i="20" s="1"/>
  <c r="L91" i="2"/>
  <c r="G790" i="13"/>
  <c r="D791" i="13"/>
  <c r="E640" i="20"/>
  <c r="F640" i="20" s="1"/>
  <c r="D641" i="20" s="1"/>
  <c r="E641" i="20" s="1"/>
  <c r="F641" i="20" s="1"/>
  <c r="D642" i="20" s="1"/>
  <c r="E642" i="20" s="1"/>
  <c r="F642" i="20" s="1"/>
  <c r="D643" i="20" s="1"/>
  <c r="E643" i="20" s="1"/>
  <c r="F643" i="20" s="1"/>
  <c r="D644" i="20" s="1"/>
  <c r="E644" i="20" s="1"/>
  <c r="F644" i="20" s="1"/>
  <c r="D645" i="20" s="1"/>
  <c r="E645" i="20" s="1"/>
  <c r="F645" i="20" s="1"/>
  <c r="D646" i="20" s="1"/>
  <c r="E646" i="20" s="1"/>
  <c r="F646" i="20" s="1"/>
  <c r="D647" i="20" s="1"/>
  <c r="E647" i="20" s="1"/>
  <c r="F647" i="20" s="1"/>
  <c r="D648" i="20" s="1"/>
  <c r="E648" i="20" s="1"/>
  <c r="F648" i="20" s="1"/>
  <c r="D649" i="20" s="1"/>
  <c r="E649" i="20" s="1"/>
  <c r="F649" i="20" s="1"/>
  <c r="D650" i="20" s="1"/>
  <c r="E650" i="20" s="1"/>
  <c r="F650" i="20" s="1"/>
  <c r="D651" i="20" s="1"/>
  <c r="E651" i="20" s="1"/>
  <c r="F651" i="20" s="1"/>
  <c r="D652" i="20" s="1"/>
  <c r="E652" i="20" s="1"/>
  <c r="F652" i="20" s="1"/>
  <c r="D653" i="20" s="1"/>
  <c r="E653" i="20" s="1"/>
  <c r="F653" i="20" s="1"/>
  <c r="D654" i="20" s="1"/>
  <c r="E654" i="20" s="1"/>
  <c r="F654" i="20" s="1"/>
  <c r="D655" i="20" s="1"/>
  <c r="E655" i="20" s="1"/>
  <c r="F655" i="20" s="1"/>
  <c r="D656" i="20" s="1"/>
  <c r="E656" i="20" s="1"/>
  <c r="F656" i="20" s="1"/>
  <c r="D657" i="20" s="1"/>
  <c r="E657" i="20" s="1"/>
  <c r="F657" i="20" s="1"/>
  <c r="D658" i="20" s="1"/>
  <c r="E658" i="20" s="1"/>
  <c r="F658" i="20" s="1"/>
  <c r="D659" i="20" s="1"/>
  <c r="E659" i="20" s="1"/>
  <c r="F659" i="20" s="1"/>
  <c r="D660" i="20" s="1"/>
  <c r="E660" i="20" s="1"/>
  <c r="F660" i="20" s="1"/>
  <c r="D661" i="20" s="1"/>
  <c r="E661" i="20" s="1"/>
  <c r="F661" i="20" s="1"/>
  <c r="D662" i="20" s="1"/>
  <c r="E662" i="20" s="1"/>
  <c r="F662" i="20" s="1"/>
  <c r="D663" i="20" s="1"/>
  <c r="E663" i="20" s="1"/>
  <c r="F663" i="20" s="1"/>
  <c r="D664" i="20" s="1"/>
  <c r="E664" i="20" s="1"/>
  <c r="F664" i="20" s="1"/>
  <c r="D665" i="20" s="1"/>
  <c r="E665" i="20" s="1"/>
  <c r="F665" i="20" s="1"/>
  <c r="D666" i="20" s="1"/>
  <c r="E666" i="20" s="1"/>
  <c r="F666" i="20" s="1"/>
  <c r="D667" i="20" s="1"/>
  <c r="E667" i="20" s="1"/>
  <c r="F667" i="20" s="1"/>
  <c r="D668" i="20" s="1"/>
  <c r="D1222" i="13"/>
  <c r="G1221" i="13"/>
  <c r="D447" i="13"/>
  <c r="G446" i="13"/>
  <c r="E340" i="20"/>
  <c r="E341" i="20" s="1"/>
  <c r="E874" i="20"/>
  <c r="E875" i="20" s="1"/>
  <c r="F1308" i="13"/>
  <c r="E460" i="20"/>
  <c r="F460" i="20" s="1"/>
  <c r="D461" i="20" s="1"/>
  <c r="G532" i="13"/>
  <c r="D533" i="13"/>
  <c r="E371" i="20"/>
  <c r="F371" i="20" s="1"/>
  <c r="D372" i="20" s="1"/>
  <c r="E372" i="20" s="1"/>
  <c r="F372" i="20" s="1"/>
  <c r="D373" i="20" s="1"/>
  <c r="E373" i="20" s="1"/>
  <c r="F373" i="20" s="1"/>
  <c r="D374" i="20" s="1"/>
  <c r="E374" i="20" s="1"/>
  <c r="F374" i="20" s="1"/>
  <c r="D375" i="20" s="1"/>
  <c r="E375" i="20" s="1"/>
  <c r="F375" i="20" s="1"/>
  <c r="D376" i="20" s="1"/>
  <c r="E376" i="20" s="1"/>
  <c r="F376" i="20" s="1"/>
  <c r="D377" i="20" s="1"/>
  <c r="E377" i="20" s="1"/>
  <c r="F377" i="20" s="1"/>
  <c r="D378" i="20" s="1"/>
  <c r="E378" i="20" s="1"/>
  <c r="F378" i="20" s="1"/>
  <c r="D379" i="20" s="1"/>
  <c r="E379" i="20" s="1"/>
  <c r="F379" i="20" s="1"/>
  <c r="D380" i="20" s="1"/>
  <c r="E380" i="20" s="1"/>
  <c r="F380" i="20" s="1"/>
  <c r="D381" i="20" s="1"/>
  <c r="E381" i="20" s="1"/>
  <c r="F381" i="20" s="1"/>
  <c r="D382" i="20" s="1"/>
  <c r="E382" i="20" s="1"/>
  <c r="F382" i="20" s="1"/>
  <c r="D383" i="20" s="1"/>
  <c r="E383" i="20" s="1"/>
  <c r="F383" i="20" s="1"/>
  <c r="D384" i="20" s="1"/>
  <c r="E384" i="20" s="1"/>
  <c r="F384" i="20" s="1"/>
  <c r="D385" i="20" s="1"/>
  <c r="E385" i="20" s="1"/>
  <c r="F385" i="20" s="1"/>
  <c r="D386" i="20" s="1"/>
  <c r="E386" i="20" s="1"/>
  <c r="F386" i="20" s="1"/>
  <c r="D387" i="20" s="1"/>
  <c r="E387" i="20" s="1"/>
  <c r="F387" i="20" s="1"/>
  <c r="D388" i="20" s="1"/>
  <c r="E388" i="20" s="1"/>
  <c r="F388" i="20" s="1"/>
  <c r="D389" i="20" s="1"/>
  <c r="E389" i="20" s="1"/>
  <c r="F389" i="20" s="1"/>
  <c r="D390" i="20" s="1"/>
  <c r="E390" i="20" s="1"/>
  <c r="F390" i="20" s="1"/>
  <c r="D391" i="20" s="1"/>
  <c r="E391" i="20" s="1"/>
  <c r="F391" i="20" s="1"/>
  <c r="D392" i="20" s="1"/>
  <c r="E392" i="20" s="1"/>
  <c r="F392" i="20" s="1"/>
  <c r="D393" i="20" s="1"/>
  <c r="E393" i="20" s="1"/>
  <c r="F393" i="20" s="1"/>
  <c r="D394" i="20" s="1"/>
  <c r="E394" i="20" s="1"/>
  <c r="F394" i="20" s="1"/>
  <c r="D395" i="20" s="1"/>
  <c r="E395" i="20" s="1"/>
  <c r="F395" i="20" s="1"/>
  <c r="D396" i="20" s="1"/>
  <c r="E396" i="20" s="1"/>
  <c r="F396" i="20" s="1"/>
  <c r="D397" i="20" s="1"/>
  <c r="E397" i="20" s="1"/>
  <c r="F397" i="20" s="1"/>
  <c r="D398" i="20" s="1"/>
  <c r="E398" i="20" s="1"/>
  <c r="F398" i="20" s="1"/>
  <c r="D399" i="20" s="1"/>
  <c r="E399" i="20" s="1"/>
  <c r="F399" i="20" s="1"/>
  <c r="D400" i="20" s="1"/>
  <c r="E400" i="20" s="1"/>
  <c r="F400" i="20" s="1"/>
  <c r="D401" i="20" s="1"/>
  <c r="E401" i="20" s="1"/>
  <c r="F401" i="20" s="1"/>
  <c r="D402" i="20" s="1"/>
  <c r="E402" i="20" s="1"/>
  <c r="F402" i="20" s="1"/>
  <c r="D403" i="20" s="1"/>
  <c r="E403" i="20" s="1"/>
  <c r="F403" i="20" s="1"/>
  <c r="D404" i="20" s="1"/>
  <c r="E404" i="20" s="1"/>
  <c r="F404" i="20" s="1"/>
  <c r="D405" i="20" s="1"/>
  <c r="E405" i="20" s="1"/>
  <c r="F405" i="20" s="1"/>
  <c r="D406" i="20" s="1"/>
  <c r="E406" i="20" s="1"/>
  <c r="F406" i="20" s="1"/>
  <c r="D407" i="20" s="1"/>
  <c r="E407" i="20" s="1"/>
  <c r="F407" i="20" s="1"/>
  <c r="D408" i="20" s="1"/>
  <c r="E408" i="20" s="1"/>
  <c r="F408" i="20" s="1"/>
  <c r="D409" i="20" s="1"/>
  <c r="E409" i="20" s="1"/>
  <c r="F409" i="20" s="1"/>
  <c r="D410" i="20" s="1"/>
  <c r="E410" i="20" s="1"/>
  <c r="F410" i="20" s="1"/>
  <c r="D411" i="20" s="1"/>
  <c r="E411" i="20" s="1"/>
  <c r="F411" i="20" s="1"/>
  <c r="D412" i="20" s="1"/>
  <c r="E412" i="20" s="1"/>
  <c r="F412" i="20" s="1"/>
  <c r="D413" i="20" s="1"/>
  <c r="E413" i="20" s="1"/>
  <c r="F413" i="20" s="1"/>
  <c r="D414" i="20" s="1"/>
  <c r="E414" i="20" s="1"/>
  <c r="F414" i="20" s="1"/>
  <c r="D415" i="20" s="1"/>
  <c r="E415" i="20" s="1"/>
  <c r="F415" i="20" s="1"/>
  <c r="D416" i="20" s="1"/>
  <c r="E416" i="20" s="1"/>
  <c r="F416" i="20" s="1"/>
  <c r="D417" i="20" s="1"/>
  <c r="E417" i="20" s="1"/>
  <c r="F417" i="20" s="1"/>
  <c r="D418" i="20" s="1"/>
  <c r="E418" i="20" s="1"/>
  <c r="F418" i="20" s="1"/>
  <c r="D419" i="20" s="1"/>
  <c r="E419" i="20" s="1"/>
  <c r="F419" i="20" s="1"/>
  <c r="D420" i="20" s="1"/>
  <c r="E420" i="20" s="1"/>
  <c r="F420" i="20" s="1"/>
  <c r="D421" i="20" s="1"/>
  <c r="E421" i="20" s="1"/>
  <c r="F421" i="20" s="1"/>
  <c r="D422" i="20" s="1"/>
  <c r="E422" i="20" s="1"/>
  <c r="F422" i="20" s="1"/>
  <c r="D423" i="20" s="1"/>
  <c r="E423" i="20" s="1"/>
  <c r="F423" i="20" s="1"/>
  <c r="D424" i="20" s="1"/>
  <c r="E424" i="20" s="1"/>
  <c r="F424" i="20" s="1"/>
  <c r="D425" i="20" s="1"/>
  <c r="E425" i="20" s="1"/>
  <c r="F425" i="20" s="1"/>
  <c r="D426" i="20" s="1"/>
  <c r="E426" i="20" s="1"/>
  <c r="F426" i="20" s="1"/>
  <c r="D427" i="20" s="1"/>
  <c r="E427" i="20" s="1"/>
  <c r="F427" i="20" s="1"/>
  <c r="D428" i="20" s="1"/>
  <c r="E428" i="20" s="1"/>
  <c r="F428" i="20" s="1"/>
  <c r="D429" i="20" s="1"/>
  <c r="E1010" i="20"/>
  <c r="F1010" i="20" s="1"/>
  <c r="D1011" i="20" s="1"/>
  <c r="E1011" i="20" s="1"/>
  <c r="F1011" i="20" s="1"/>
  <c r="D1012" i="20" s="1"/>
  <c r="E1012" i="20" s="1"/>
  <c r="F1012" i="20" s="1"/>
  <c r="D1013" i="20" s="1"/>
  <c r="E1013" i="20" s="1"/>
  <c r="F1013" i="20" s="1"/>
  <c r="D1014" i="20" s="1"/>
  <c r="E1014" i="20" s="1"/>
  <c r="F1014" i="20" s="1"/>
  <c r="D1015" i="20" s="1"/>
  <c r="E1015" i="20" s="1"/>
  <c r="F1015" i="20" s="1"/>
  <c r="D1016" i="20" s="1"/>
  <c r="E1016" i="20" s="1"/>
  <c r="F1016" i="20" s="1"/>
  <c r="D1017" i="20" s="1"/>
  <c r="E1017" i="20" s="1"/>
  <c r="F1017" i="20" s="1"/>
  <c r="D1018" i="20" s="1"/>
  <c r="E1018" i="20" s="1"/>
  <c r="F1018" i="20" s="1"/>
  <c r="D1019" i="20" s="1"/>
  <c r="E1019" i="20" s="1"/>
  <c r="F1019" i="20" s="1"/>
  <c r="D1020" i="20" s="1"/>
  <c r="E1020" i="20" s="1"/>
  <c r="F1020" i="20" s="1"/>
  <c r="D1021" i="20" s="1"/>
  <c r="E1021" i="20" s="1"/>
  <c r="F1021" i="20" s="1"/>
  <c r="D1022" i="20" s="1"/>
  <c r="E1022" i="20" s="1"/>
  <c r="F1022" i="20" s="1"/>
  <c r="D1023" i="20" s="1"/>
  <c r="E1023" i="20" s="1"/>
  <c r="F1023" i="20" s="1"/>
  <c r="D1024" i="20" s="1"/>
  <c r="E1024" i="20" s="1"/>
  <c r="F1024" i="20" s="1"/>
  <c r="D1025" i="20" s="1"/>
  <c r="E1025" i="20" s="1"/>
  <c r="F1025" i="20" s="1"/>
  <c r="D1026" i="20" s="1"/>
  <c r="E1026" i="20" s="1"/>
  <c r="F1026" i="20" s="1"/>
  <c r="D1027" i="20" s="1"/>
  <c r="E1027" i="20" s="1"/>
  <c r="F1027" i="20" s="1"/>
  <c r="D1028" i="20" s="1"/>
  <c r="E1028" i="20" s="1"/>
  <c r="F1028" i="20" s="1"/>
  <c r="D1029" i="20" s="1"/>
  <c r="E1029" i="20" s="1"/>
  <c r="F1029" i="20" s="1"/>
  <c r="D1030" i="20" s="1"/>
  <c r="E1030" i="20" s="1"/>
  <c r="F1030" i="20" s="1"/>
  <c r="D1031" i="20" s="1"/>
  <c r="E1031" i="20" s="1"/>
  <c r="F1031" i="20" s="1"/>
  <c r="D1032" i="20" s="1"/>
  <c r="E1032" i="20" s="1"/>
  <c r="F1032" i="20" s="1"/>
  <c r="D1033" i="20" s="1"/>
  <c r="E1033" i="20" s="1"/>
  <c r="F1033" i="20" s="1"/>
  <c r="D1034" i="20" s="1"/>
  <c r="E1034" i="20" s="1"/>
  <c r="F1034" i="20" s="1"/>
  <c r="D1035" i="20" s="1"/>
  <c r="E1035" i="20" s="1"/>
  <c r="F1035" i="20" s="1"/>
  <c r="D1036" i="20" s="1"/>
  <c r="E1036" i="20" s="1"/>
  <c r="F1036" i="20" s="1"/>
  <c r="D1037" i="20" s="1"/>
  <c r="E1037" i="20" s="1"/>
  <c r="F1037" i="20" s="1"/>
  <c r="D1038" i="20" s="1"/>
  <c r="E1038" i="20" s="1"/>
  <c r="F1038" i="20" s="1"/>
  <c r="D1039" i="20" s="1"/>
  <c r="E1039" i="20" s="1"/>
  <c r="F1039" i="20" s="1"/>
  <c r="D1040" i="20" s="1"/>
  <c r="E1040" i="20" s="1"/>
  <c r="F1040" i="20" s="1"/>
  <c r="D1041" i="20" s="1"/>
  <c r="E1041" i="20" s="1"/>
  <c r="F1041" i="20" s="1"/>
  <c r="D1042" i="20" s="1"/>
  <c r="E1042" i="20" s="1"/>
  <c r="F1042" i="20" s="1"/>
  <c r="D1043" i="20" s="1"/>
  <c r="E1043" i="20" s="1"/>
  <c r="F1043" i="20" s="1"/>
  <c r="D1044" i="20" s="1"/>
  <c r="E1044" i="20" s="1"/>
  <c r="F1044" i="20" s="1"/>
  <c r="D1045" i="20" s="1"/>
  <c r="E1045" i="20" s="1"/>
  <c r="F1045" i="20" s="1"/>
  <c r="D1046" i="20" s="1"/>
  <c r="E1046" i="20" s="1"/>
  <c r="F1046" i="20" s="1"/>
  <c r="D1047" i="20" s="1"/>
  <c r="E1047" i="20" s="1"/>
  <c r="F1047" i="20" s="1"/>
  <c r="D1048" i="20" s="1"/>
  <c r="E1048" i="20" s="1"/>
  <c r="F1048" i="20" s="1"/>
  <c r="D1049" i="20" s="1"/>
  <c r="E1049" i="20" s="1"/>
  <c r="F1049" i="20" s="1"/>
  <c r="D1050" i="20" s="1"/>
  <c r="E1050" i="20" s="1"/>
  <c r="F1050" i="20" s="1"/>
  <c r="D1051" i="20" s="1"/>
  <c r="E1051" i="20" s="1"/>
  <c r="F1051" i="20" s="1"/>
  <c r="D1052" i="20" s="1"/>
  <c r="G188" i="13"/>
  <c r="D189" i="13"/>
  <c r="E565" i="20"/>
  <c r="F565" i="20" s="1"/>
  <c r="D566" i="20" s="1"/>
  <c r="E566" i="20" s="1"/>
  <c r="F566" i="20" s="1"/>
  <c r="D567" i="20" s="1"/>
  <c r="E567" i="20" s="1"/>
  <c r="F567" i="20" s="1"/>
  <c r="D568" i="20" s="1"/>
  <c r="E568" i="20" s="1"/>
  <c r="F568" i="20" s="1"/>
  <c r="D569" i="20" s="1"/>
  <c r="E569" i="20" s="1"/>
  <c r="F569" i="20" s="1"/>
  <c r="D570" i="20" s="1"/>
  <c r="E570" i="20" s="1"/>
  <c r="F570" i="20" s="1"/>
  <c r="D571" i="20" s="1"/>
  <c r="E571" i="20" s="1"/>
  <c r="F571" i="20" s="1"/>
  <c r="D572" i="20" s="1"/>
  <c r="E572" i="20" s="1"/>
  <c r="F572" i="20" s="1"/>
  <c r="D573" i="20" s="1"/>
  <c r="E573" i="20" s="1"/>
  <c r="F573" i="20" s="1"/>
  <c r="D574" i="20" s="1"/>
  <c r="E574" i="20" s="1"/>
  <c r="F574" i="20" s="1"/>
  <c r="D575" i="20" s="1"/>
  <c r="E575" i="20" s="1"/>
  <c r="F575" i="20" s="1"/>
  <c r="D576" i="20" s="1"/>
  <c r="E576" i="20" s="1"/>
  <c r="F576" i="20" s="1"/>
  <c r="D577" i="20" s="1"/>
  <c r="E577" i="20" s="1"/>
  <c r="F577" i="20" s="1"/>
  <c r="D578" i="20" s="1"/>
  <c r="E578" i="20" s="1"/>
  <c r="F578" i="20" s="1"/>
  <c r="D579" i="20" s="1"/>
  <c r="E579" i="20" s="1"/>
  <c r="F579" i="20" s="1"/>
  <c r="D580" i="20" s="1"/>
  <c r="E580" i="20" s="1"/>
  <c r="F580" i="20" s="1"/>
  <c r="D581" i="20" s="1"/>
  <c r="E581" i="20" s="1"/>
  <c r="F581" i="20" s="1"/>
  <c r="D582" i="20" s="1"/>
  <c r="E582" i="20" s="1"/>
  <c r="F582" i="20" s="1"/>
  <c r="D583" i="20" s="1"/>
  <c r="E583" i="20" s="1"/>
  <c r="F583" i="20" s="1"/>
  <c r="D584" i="20" s="1"/>
  <c r="E584" i="20" s="1"/>
  <c r="F584" i="20" s="1"/>
  <c r="D585" i="20" s="1"/>
  <c r="E585" i="20" s="1"/>
  <c r="F585" i="20" s="1"/>
  <c r="D586" i="20" s="1"/>
  <c r="E586" i="20" s="1"/>
  <c r="F586" i="20" s="1"/>
  <c r="D587" i="20" s="1"/>
  <c r="E587" i="20" s="1"/>
  <c r="F587" i="20" s="1"/>
  <c r="D588" i="20" s="1"/>
  <c r="E588" i="20" s="1"/>
  <c r="F588" i="20" s="1"/>
  <c r="D589" i="20" s="1"/>
  <c r="E589" i="20" s="1"/>
  <c r="F589" i="20" s="1"/>
  <c r="D590" i="20" s="1"/>
  <c r="E590" i="20" s="1"/>
  <c r="F590" i="20" s="1"/>
  <c r="D591" i="20" s="1"/>
  <c r="E591" i="20" s="1"/>
  <c r="F591" i="20" s="1"/>
  <c r="D592" i="20" s="1"/>
  <c r="E592" i="20" s="1"/>
  <c r="F592" i="20" s="1"/>
  <c r="D593" i="20" s="1"/>
  <c r="E593" i="20" s="1"/>
  <c r="F593" i="20" s="1"/>
  <c r="D594" i="20" s="1"/>
  <c r="E594" i="20" s="1"/>
  <c r="F594" i="20" s="1"/>
  <c r="D595" i="20" s="1"/>
  <c r="E595" i="20" s="1"/>
  <c r="F595" i="20" s="1"/>
  <c r="D596" i="20" s="1"/>
  <c r="E596" i="20" s="1"/>
  <c r="F596" i="20" s="1"/>
  <c r="D597" i="20" s="1"/>
  <c r="E597" i="20" s="1"/>
  <c r="F597" i="20" s="1"/>
  <c r="D598" i="20" s="1"/>
  <c r="E598" i="20" s="1"/>
  <c r="F598" i="20" s="1"/>
  <c r="D599" i="20" s="1"/>
  <c r="E599" i="20" s="1"/>
  <c r="F599" i="20" s="1"/>
  <c r="D600" i="20" s="1"/>
  <c r="E600" i="20" s="1"/>
  <c r="F600" i="20" s="1"/>
  <c r="D601" i="20" s="1"/>
  <c r="E601" i="20" s="1"/>
  <c r="F601" i="20" s="1"/>
  <c r="D602" i="20" s="1"/>
  <c r="E602" i="20" s="1"/>
  <c r="F602" i="20" s="1"/>
  <c r="D603" i="20" s="1"/>
  <c r="E603" i="20" s="1"/>
  <c r="F603" i="20" s="1"/>
  <c r="D604" i="20" s="1"/>
  <c r="E604" i="20" s="1"/>
  <c r="F604" i="20" s="1"/>
  <c r="D605" i="20" s="1"/>
  <c r="E605" i="20" s="1"/>
  <c r="F605" i="20" s="1"/>
  <c r="D606" i="20" s="1"/>
  <c r="E606" i="20" s="1"/>
  <c r="F606" i="20" s="1"/>
  <c r="D607" i="20" s="1"/>
  <c r="G962" i="13"/>
  <c r="D963" i="13"/>
  <c r="E785" i="20"/>
  <c r="E786" i="20" s="1"/>
  <c r="L98" i="2"/>
  <c r="E1175" i="20"/>
  <c r="F1175" i="20" s="1"/>
  <c r="D1176" i="20" s="1"/>
  <c r="E1176" i="20" s="1"/>
  <c r="F1176" i="20" s="1"/>
  <c r="D1177" i="20" s="1"/>
  <c r="E1177" i="20" s="1"/>
  <c r="F1177" i="20" s="1"/>
  <c r="D1178" i="20" s="1"/>
  <c r="E1178" i="20" s="1"/>
  <c r="F1178" i="20" s="1"/>
  <c r="D1179" i="20" s="1"/>
  <c r="E1179" i="20" s="1"/>
  <c r="F1179" i="20" s="1"/>
  <c r="D1180" i="20" s="1"/>
  <c r="E1180" i="20" s="1"/>
  <c r="F1180" i="20" s="1"/>
  <c r="D1181" i="20" s="1"/>
  <c r="E1181" i="20" s="1"/>
  <c r="F1181" i="20" s="1"/>
  <c r="D1182" i="20" s="1"/>
  <c r="E1182" i="20" s="1"/>
  <c r="F1182" i="20" s="1"/>
  <c r="D1183" i="20" s="1"/>
  <c r="E1183" i="20" s="1"/>
  <c r="F1183" i="20" s="1"/>
  <c r="D1184" i="20" s="1"/>
  <c r="E1184" i="20" s="1"/>
  <c r="F1184" i="20" s="1"/>
  <c r="D1185" i="20" s="1"/>
  <c r="E1185" i="20" s="1"/>
  <c r="F1185" i="20" s="1"/>
  <c r="D1186" i="20" s="1"/>
  <c r="E1186" i="20" s="1"/>
  <c r="F1186" i="20" s="1"/>
  <c r="D1187" i="20" s="1"/>
  <c r="E1187" i="20" s="1"/>
  <c r="F1187" i="20" s="1"/>
  <c r="D1188" i="20" s="1"/>
  <c r="E1188" i="20" s="1"/>
  <c r="F1188" i="20" s="1"/>
  <c r="D1189" i="20" s="1"/>
  <c r="E1189" i="20" s="1"/>
  <c r="F1189" i="20" s="1"/>
  <c r="D1190" i="20" s="1"/>
  <c r="E1190" i="20" s="1"/>
  <c r="F1190" i="20" s="1"/>
  <c r="D1191" i="20" s="1"/>
  <c r="E1191" i="20" s="1"/>
  <c r="F1191" i="20" s="1"/>
  <c r="D1192" i="20" s="1"/>
  <c r="E1192" i="20" s="1"/>
  <c r="F1192" i="20" s="1"/>
  <c r="D1193" i="20" s="1"/>
  <c r="E1193" i="20" s="1"/>
  <c r="F1193" i="20" s="1"/>
  <c r="D1194" i="20" s="1"/>
  <c r="E1194" i="20" s="1"/>
  <c r="F1194" i="20" s="1"/>
  <c r="D1195" i="20" s="1"/>
  <c r="E1195" i="20" s="1"/>
  <c r="F1195" i="20" s="1"/>
  <c r="D1196" i="20" s="1"/>
  <c r="E1196" i="20" s="1"/>
  <c r="F1196" i="20" s="1"/>
  <c r="D1197" i="20" s="1"/>
  <c r="E1197" i="20" s="1"/>
  <c r="F1197" i="20" s="1"/>
  <c r="D1198" i="20" s="1"/>
  <c r="E1198" i="20" s="1"/>
  <c r="F1198" i="20" s="1"/>
  <c r="D1199" i="20" s="1"/>
  <c r="E1199" i="20" s="1"/>
  <c r="F1199" i="20" s="1"/>
  <c r="D1200" i="20" s="1"/>
  <c r="E1200" i="20" s="1"/>
  <c r="F1200" i="20" s="1"/>
  <c r="D1201" i="20" s="1"/>
  <c r="E1201" i="20" s="1"/>
  <c r="F1201" i="20" s="1"/>
  <c r="D1202" i="20" s="1"/>
  <c r="E1202" i="20" s="1"/>
  <c r="F1202" i="20" s="1"/>
  <c r="D1203" i="20" s="1"/>
  <c r="E1203" i="20" s="1"/>
  <c r="F1203" i="20" s="1"/>
  <c r="D1204" i="20" s="1"/>
  <c r="E1204" i="20" s="1"/>
  <c r="F1204" i="20" s="1"/>
  <c r="D1205" i="20" s="1"/>
  <c r="E1205" i="20" s="1"/>
  <c r="F1205" i="20" s="1"/>
  <c r="D1206" i="20" s="1"/>
  <c r="E1206" i="20" s="1"/>
  <c r="F1206" i="20" s="1"/>
  <c r="D1207" i="20" s="1"/>
  <c r="E1207" i="20" s="1"/>
  <c r="F1207" i="20" s="1"/>
  <c r="D1208" i="20" s="1"/>
  <c r="E1208" i="20" s="1"/>
  <c r="F1208" i="20" s="1"/>
  <c r="D1209" i="20" s="1"/>
  <c r="E1209" i="20" s="1"/>
  <c r="F1209" i="20" s="1"/>
  <c r="D1210" i="20" s="1"/>
  <c r="E1210" i="20" s="1"/>
  <c r="F1210" i="20" s="1"/>
  <c r="D1211" i="20" s="1"/>
  <c r="E1211" i="20" s="1"/>
  <c r="F1211" i="20" s="1"/>
  <c r="D1212" i="20" s="1"/>
  <c r="E1212" i="20" s="1"/>
  <c r="F1212" i="20" s="1"/>
  <c r="D1213" i="20" s="1"/>
  <c r="E1213" i="20" s="1"/>
  <c r="F1213" i="20" s="1"/>
  <c r="D1214" i="20" s="1"/>
  <c r="E1214" i="20" s="1"/>
  <c r="F1214" i="20" s="1"/>
  <c r="D1215" i="20" s="1"/>
  <c r="E1215" i="20" s="1"/>
  <c r="F1215" i="20" s="1"/>
  <c r="D1216" i="20" s="1"/>
  <c r="E1216" i="20" s="1"/>
  <c r="F1216" i="20" s="1"/>
  <c r="D1217" i="20" s="1"/>
  <c r="E1217" i="20" s="1"/>
  <c r="F1217" i="20" s="1"/>
  <c r="D1218" i="20" s="1"/>
  <c r="E1218" i="20" s="1"/>
  <c r="F1218" i="20" s="1"/>
  <c r="D1219" i="20" s="1"/>
  <c r="E1219" i="20" s="1"/>
  <c r="F1219" i="20" s="1"/>
  <c r="D1220" i="20" s="1"/>
  <c r="E1220" i="20" s="1"/>
  <c r="F1220" i="20" s="1"/>
  <c r="D1221" i="20" s="1"/>
  <c r="E1221" i="20" s="1"/>
  <c r="F1221" i="20" s="1"/>
  <c r="D1222" i="20" s="1"/>
  <c r="E1222" i="20" s="1"/>
  <c r="F1222" i="20" s="1"/>
  <c r="D1223" i="20" s="1"/>
  <c r="E1223" i="20" s="1"/>
  <c r="F1223" i="20" s="1"/>
  <c r="D1224" i="20" s="1"/>
  <c r="E1224" i="20" s="1"/>
  <c r="F1224" i="20" s="1"/>
  <c r="D1225" i="20" s="1"/>
  <c r="E1225" i="20" s="1"/>
  <c r="F1225" i="20" s="1"/>
  <c r="D1226" i="20" s="1"/>
  <c r="E1226" i="20" s="1"/>
  <c r="F1226" i="20" s="1"/>
  <c r="D1227" i="20" s="1"/>
  <c r="E1227" i="20" s="1"/>
  <c r="F1227" i="20" s="1"/>
  <c r="D1228" i="20" s="1"/>
  <c r="E1228" i="20" s="1"/>
  <c r="F1228" i="20" s="1"/>
  <c r="D1229" i="20" s="1"/>
  <c r="E1229" i="20" s="1"/>
  <c r="F1229" i="20" s="1"/>
  <c r="D1230" i="20" s="1"/>
  <c r="D1135" i="13"/>
  <c r="G1134" i="13"/>
  <c r="E251" i="20"/>
  <c r="E252" i="20" s="1"/>
  <c r="G704" i="13"/>
  <c r="D705" i="13"/>
  <c r="E1095" i="20"/>
  <c r="F1095" i="20" s="1"/>
  <c r="D1096" i="20" s="1"/>
  <c r="E1096" i="20" s="1"/>
  <c r="F1096" i="20" s="1"/>
  <c r="D1097" i="20" s="1"/>
  <c r="E1097" i="20" s="1"/>
  <c r="F1097" i="20" s="1"/>
  <c r="D1098" i="20" s="1"/>
  <c r="E1098" i="20" s="1"/>
  <c r="F1098" i="20" s="1"/>
  <c r="D1099" i="20" s="1"/>
  <c r="E1099" i="20" s="1"/>
  <c r="F1099" i="20" s="1"/>
  <c r="D1100" i="20" s="1"/>
  <c r="E1100" i="20" s="1"/>
  <c r="F1100" i="20" s="1"/>
  <c r="D1101" i="20" s="1"/>
  <c r="E1101" i="20" s="1"/>
  <c r="F1101" i="20" s="1"/>
  <c r="D1102" i="20" s="1"/>
  <c r="E1102" i="20" s="1"/>
  <c r="F1102" i="20" s="1"/>
  <c r="D1103" i="20" s="1"/>
  <c r="E1103" i="20" s="1"/>
  <c r="F1103" i="20" s="1"/>
  <c r="D1104" i="20" s="1"/>
  <c r="E1104" i="20" s="1"/>
  <c r="F1104" i="20" s="1"/>
  <c r="D1105" i="20" s="1"/>
  <c r="E1105" i="20" s="1"/>
  <c r="F1105" i="20" s="1"/>
  <c r="D1106" i="20" s="1"/>
  <c r="E1106" i="20" s="1"/>
  <c r="F1106" i="20" s="1"/>
  <c r="D1107" i="20" s="1"/>
  <c r="E1107" i="20" s="1"/>
  <c r="F1107" i="20" s="1"/>
  <c r="D1108" i="20" s="1"/>
  <c r="E1108" i="20" s="1"/>
  <c r="F1108" i="20" s="1"/>
  <c r="D1109" i="20" s="1"/>
  <c r="E1109" i="20" s="1"/>
  <c r="F1109" i="20" s="1"/>
  <c r="D1110" i="20" s="1"/>
  <c r="E1110" i="20" s="1"/>
  <c r="F1110" i="20" s="1"/>
  <c r="D1111" i="20" s="1"/>
  <c r="E1111" i="20" s="1"/>
  <c r="F1111" i="20" s="1"/>
  <c r="D1112" i="20" s="1"/>
  <c r="E1112" i="20" s="1"/>
  <c r="F1112" i="20" s="1"/>
  <c r="D1113" i="20" s="1"/>
  <c r="E1113" i="20" s="1"/>
  <c r="F1113" i="20" s="1"/>
  <c r="D1114" i="20" s="1"/>
  <c r="E1114" i="20" s="1"/>
  <c r="F1114" i="20" s="1"/>
  <c r="D1115" i="20" s="1"/>
  <c r="E1115" i="20" s="1"/>
  <c r="F1115" i="20" s="1"/>
  <c r="D1116" i="20" s="1"/>
  <c r="E1116" i="20" s="1"/>
  <c r="F1116" i="20" s="1"/>
  <c r="D1117" i="20" s="1"/>
  <c r="E1117" i="20" s="1"/>
  <c r="F1117" i="20" s="1"/>
  <c r="D1118" i="20" s="1"/>
  <c r="E1118" i="20" s="1"/>
  <c r="F1118" i="20" s="1"/>
  <c r="D1119" i="20" s="1"/>
  <c r="E1119" i="20" s="1"/>
  <c r="F1119" i="20" s="1"/>
  <c r="D1120" i="20" s="1"/>
  <c r="E1120" i="20" s="1"/>
  <c r="F1120" i="20" s="1"/>
  <c r="D1121" i="20" s="1"/>
  <c r="E1121" i="20" s="1"/>
  <c r="F1121" i="20" s="1"/>
  <c r="D1122" i="20" s="1"/>
  <c r="E1122" i="20" s="1"/>
  <c r="F1122" i="20" s="1"/>
  <c r="D1123" i="20" s="1"/>
  <c r="E1123" i="20" s="1"/>
  <c r="F1123" i="20" s="1"/>
  <c r="D1124" i="20" s="1"/>
  <c r="E1124" i="20" s="1"/>
  <c r="F1124" i="20" s="1"/>
  <c r="D1125" i="20" s="1"/>
  <c r="E1125" i="20" s="1"/>
  <c r="F1125" i="20" s="1"/>
  <c r="D1126" i="20" s="1"/>
  <c r="E1126" i="20" s="1"/>
  <c r="F1126" i="20" s="1"/>
  <c r="D1127" i="20" s="1"/>
  <c r="E1127" i="20" s="1"/>
  <c r="F1127" i="20" s="1"/>
  <c r="D1128" i="20" s="1"/>
  <c r="E1128" i="20" s="1"/>
  <c r="F1128" i="20" s="1"/>
  <c r="D1129" i="20" s="1"/>
  <c r="E1129" i="20" s="1"/>
  <c r="F1129" i="20" s="1"/>
  <c r="D1130" i="20" s="1"/>
  <c r="E1130" i="20" s="1"/>
  <c r="F1130" i="20" s="1"/>
  <c r="D1131" i="20" s="1"/>
  <c r="E1131" i="20" s="1"/>
  <c r="F1131" i="20" s="1"/>
  <c r="D1132" i="20" s="1"/>
  <c r="E1132" i="20" s="1"/>
  <c r="F1132" i="20" s="1"/>
  <c r="D1133" i="20" s="1"/>
  <c r="E1133" i="20" s="1"/>
  <c r="F1133" i="20" s="1"/>
  <c r="D1134" i="20" s="1"/>
  <c r="E1134" i="20" s="1"/>
  <c r="F1134" i="20" s="1"/>
  <c r="D1135" i="20" s="1"/>
  <c r="E1135" i="20" s="1"/>
  <c r="F1135" i="20" s="1"/>
  <c r="D1136" i="20" s="1"/>
  <c r="E1136" i="20" s="1"/>
  <c r="F1136" i="20" s="1"/>
  <c r="D1137" i="20" s="1"/>
  <c r="E1137" i="20" s="1"/>
  <c r="F1137" i="20" s="1"/>
  <c r="D1138" i="20" s="1"/>
  <c r="E1138" i="20" s="1"/>
  <c r="F1138" i="20" s="1"/>
  <c r="D1139" i="20" s="1"/>
  <c r="E1139" i="20" s="1"/>
  <c r="F1139" i="20" s="1"/>
  <c r="D1140" i="20" s="1"/>
  <c r="E1140" i="20" s="1"/>
  <c r="F1140" i="20" s="1"/>
  <c r="D1141" i="20" s="1"/>
  <c r="F274" i="13"/>
  <c r="D877" i="13"/>
  <c r="G876" i="13"/>
  <c r="G618" i="13"/>
  <c r="D619" i="13"/>
  <c r="G360" i="13"/>
  <c r="D361" i="13"/>
  <c r="L97" i="2"/>
  <c r="E105" i="20"/>
  <c r="F105" i="20" s="1"/>
  <c r="D106" i="20" s="1"/>
  <c r="E106" i="20" s="1"/>
  <c r="F106" i="20" s="1"/>
  <c r="D107" i="20" s="1"/>
  <c r="E107" i="20" s="1"/>
  <c r="F107" i="20" s="1"/>
  <c r="D108" i="20" s="1"/>
  <c r="E108" i="20" s="1"/>
  <c r="F108" i="20" s="1"/>
  <c r="D109" i="20" s="1"/>
  <c r="E109" i="20" s="1"/>
  <c r="F109" i="20" s="1"/>
  <c r="D110" i="20" s="1"/>
  <c r="E110" i="20" s="1"/>
  <c r="F110" i="20" s="1"/>
  <c r="D111" i="20" s="1"/>
  <c r="E111" i="20" s="1"/>
  <c r="F111" i="20" s="1"/>
  <c r="D112" i="20" s="1"/>
  <c r="E112" i="20" s="1"/>
  <c r="F112" i="20" s="1"/>
  <c r="D113" i="20" s="1"/>
  <c r="E113" i="20" s="1"/>
  <c r="F113" i="20" s="1"/>
  <c r="D114" i="20" s="1"/>
  <c r="E114" i="20" s="1"/>
  <c r="F114" i="20" s="1"/>
  <c r="D115" i="20" s="1"/>
  <c r="E115" i="20" s="1"/>
  <c r="F115" i="20" s="1"/>
  <c r="D116" i="20" s="1"/>
  <c r="E116" i="20" s="1"/>
  <c r="F116" i="20" s="1"/>
  <c r="D117" i="20" s="1"/>
  <c r="E117" i="20" s="1"/>
  <c r="F117" i="20" s="1"/>
  <c r="D118" i="20" s="1"/>
  <c r="E118" i="20" s="1"/>
  <c r="F118" i="20" s="1"/>
  <c r="D119" i="20" s="1"/>
  <c r="E119" i="20" s="1"/>
  <c r="F119" i="20" s="1"/>
  <c r="D120" i="20" s="1"/>
  <c r="E120" i="20" s="1"/>
  <c r="F120" i="20" s="1"/>
  <c r="D121" i="20" s="1"/>
  <c r="E121" i="20" s="1"/>
  <c r="F121" i="20" s="1"/>
  <c r="D122" i="20" s="1"/>
  <c r="E122" i="20" s="1"/>
  <c r="F122" i="20" s="1"/>
  <c r="D123" i="20" s="1"/>
  <c r="E123" i="20" s="1"/>
  <c r="F123" i="20" s="1"/>
  <c r="D124" i="20" s="1"/>
  <c r="E124" i="20" s="1"/>
  <c r="F124" i="20" s="1"/>
  <c r="D125" i="20" s="1"/>
  <c r="E125" i="20" s="1"/>
  <c r="F125" i="20" s="1"/>
  <c r="D126" i="20" s="1"/>
  <c r="E126" i="20" s="1"/>
  <c r="F126" i="20" s="1"/>
  <c r="D127" i="20" s="1"/>
  <c r="E127" i="20" s="1"/>
  <c r="F127" i="20" s="1"/>
  <c r="D128" i="20" s="1"/>
  <c r="E128" i="20" s="1"/>
  <c r="F128" i="20" s="1"/>
  <c r="D129" i="20" s="1"/>
  <c r="E129" i="20" s="1"/>
  <c r="F129" i="20" s="1"/>
  <c r="D130" i="20" s="1"/>
  <c r="E130" i="20" s="1"/>
  <c r="F130" i="20" s="1"/>
  <c r="D131" i="20" s="1"/>
  <c r="E131" i="20" s="1"/>
  <c r="F131" i="20" s="1"/>
  <c r="D132" i="20" s="1"/>
  <c r="E132" i="20" s="1"/>
  <c r="F132" i="20" s="1"/>
  <c r="D133" i="20" s="1"/>
  <c r="E133" i="20" s="1"/>
  <c r="F133" i="20" s="1"/>
  <c r="D134" i="20" s="1"/>
  <c r="E134" i="20" s="1"/>
  <c r="F134" i="20" s="1"/>
  <c r="D135" i="20" s="1"/>
  <c r="E135" i="20" s="1"/>
  <c r="F135" i="20" s="1"/>
  <c r="D136" i="20" s="1"/>
  <c r="E136" i="20" s="1"/>
  <c r="F136" i="20" s="1"/>
  <c r="D137" i="20" s="1"/>
  <c r="E137" i="20" s="1"/>
  <c r="F137" i="20" s="1"/>
  <c r="D138" i="20" s="1"/>
  <c r="E138" i="20" s="1"/>
  <c r="F138" i="20" s="1"/>
  <c r="D139" i="20" s="1"/>
  <c r="E139" i="20" s="1"/>
  <c r="F139" i="20" s="1"/>
  <c r="D140" i="20" s="1"/>
  <c r="E140" i="20" s="1"/>
  <c r="F140" i="20" s="1"/>
  <c r="D141" i="20" s="1"/>
  <c r="E141" i="20" s="1"/>
  <c r="F141" i="20" s="1"/>
  <c r="D142" i="20" s="1"/>
  <c r="E142" i="20" s="1"/>
  <c r="F142" i="20" s="1"/>
  <c r="D143" i="20" s="1"/>
  <c r="E143" i="20" s="1"/>
  <c r="F143" i="20" s="1"/>
  <c r="D144" i="20" s="1"/>
  <c r="E144" i="20" s="1"/>
  <c r="F144" i="20" s="1"/>
  <c r="D145" i="20" s="1"/>
  <c r="E145" i="20" s="1"/>
  <c r="F145" i="20" s="1"/>
  <c r="D146" i="20" s="1"/>
  <c r="E146" i="20" s="1"/>
  <c r="F146" i="20" s="1"/>
  <c r="D147" i="20" s="1"/>
  <c r="E147" i="20" s="1"/>
  <c r="F147" i="20" s="1"/>
  <c r="D148" i="20" s="1"/>
  <c r="E148" i="20" s="1"/>
  <c r="F148" i="20" s="1"/>
  <c r="D149" i="20" s="1"/>
  <c r="E149" i="20" s="1"/>
  <c r="F149" i="20" s="1"/>
  <c r="D150" i="20" s="1"/>
  <c r="E150" i="20" s="1"/>
  <c r="F150" i="20" s="1"/>
  <c r="D151" i="20" s="1"/>
  <c r="E151" i="20" s="1"/>
  <c r="F151" i="20" s="1"/>
  <c r="D152" i="20" s="1"/>
  <c r="E152" i="20" s="1"/>
  <c r="F152" i="20" s="1"/>
  <c r="D153" i="20" s="1"/>
  <c r="E153" i="20" s="1"/>
  <c r="F153" i="20" s="1"/>
  <c r="D154" i="20" s="1"/>
  <c r="E154" i="20" s="1"/>
  <c r="F154" i="20" s="1"/>
  <c r="D155" i="20" s="1"/>
  <c r="E155" i="20" s="1"/>
  <c r="F155" i="20" s="1"/>
  <c r="D156" i="20" s="1"/>
  <c r="E156" i="20" s="1"/>
  <c r="F156" i="20" s="1"/>
  <c r="D157" i="20" s="1"/>
  <c r="E157" i="20" s="1"/>
  <c r="F157" i="20" s="1"/>
  <c r="D158" i="20" s="1"/>
  <c r="E158" i="20" s="1"/>
  <c r="F158" i="20" s="1"/>
  <c r="D159" i="20" s="1"/>
  <c r="E159" i="20" s="1"/>
  <c r="F159" i="20" s="1"/>
  <c r="D160" i="20" s="1"/>
  <c r="E160" i="20" s="1"/>
  <c r="F160" i="20" s="1"/>
  <c r="D161" i="20" s="1"/>
  <c r="G102" i="13"/>
  <c r="D103" i="13"/>
  <c r="G1048" i="13"/>
  <c r="D1049" i="13"/>
  <c r="E38" i="13"/>
  <c r="F38" i="20"/>
  <c r="F340" i="20" l="1"/>
  <c r="F251" i="20"/>
  <c r="E607" i="20"/>
  <c r="E608" i="20" s="1"/>
  <c r="E461" i="20"/>
  <c r="F461" i="20" s="1"/>
  <c r="D462" i="20" s="1"/>
  <c r="E462" i="20" s="1"/>
  <c r="F462" i="20" s="1"/>
  <c r="D463" i="20" s="1"/>
  <c r="E463" i="20" s="1"/>
  <c r="F463" i="20" s="1"/>
  <c r="D464" i="20" s="1"/>
  <c r="E464" i="20" s="1"/>
  <c r="F464" i="20" s="1"/>
  <c r="D465" i="20" s="1"/>
  <c r="E465" i="20" s="1"/>
  <c r="F465" i="20" s="1"/>
  <c r="D466" i="20" s="1"/>
  <c r="E466" i="20" s="1"/>
  <c r="F466" i="20" s="1"/>
  <c r="D467" i="20" s="1"/>
  <c r="E467" i="20" s="1"/>
  <c r="F467" i="20" s="1"/>
  <c r="D468" i="20" s="1"/>
  <c r="E468" i="20" s="1"/>
  <c r="F468" i="20" s="1"/>
  <c r="D469" i="20" s="1"/>
  <c r="E469" i="20" s="1"/>
  <c r="F469" i="20" s="1"/>
  <c r="D470" i="20" s="1"/>
  <c r="E470" i="20" s="1"/>
  <c r="F470" i="20" s="1"/>
  <c r="D471" i="20" s="1"/>
  <c r="E471" i="20" s="1"/>
  <c r="F471" i="20" s="1"/>
  <c r="D472" i="20" s="1"/>
  <c r="E472" i="20" s="1"/>
  <c r="F472" i="20" s="1"/>
  <c r="D473" i="20" s="1"/>
  <c r="E473" i="20" s="1"/>
  <c r="F473" i="20" s="1"/>
  <c r="D474" i="20" s="1"/>
  <c r="E474" i="20" s="1"/>
  <c r="F474" i="20" s="1"/>
  <c r="D475" i="20" s="1"/>
  <c r="E475" i="20" s="1"/>
  <c r="F475" i="20" s="1"/>
  <c r="D476" i="20" s="1"/>
  <c r="E476" i="20" s="1"/>
  <c r="F476" i="20" s="1"/>
  <c r="D477" i="20" s="1"/>
  <c r="E477" i="20" s="1"/>
  <c r="F477" i="20" s="1"/>
  <c r="D478" i="20" s="1"/>
  <c r="E478" i="20" s="1"/>
  <c r="F478" i="20" s="1"/>
  <c r="D479" i="20" s="1"/>
  <c r="E479" i="20" s="1"/>
  <c r="F479" i="20" s="1"/>
  <c r="D480" i="20" s="1"/>
  <c r="E480" i="20" s="1"/>
  <c r="F480" i="20" s="1"/>
  <c r="D481" i="20" s="1"/>
  <c r="E481" i="20" s="1"/>
  <c r="F481" i="20" s="1"/>
  <c r="D482" i="20" s="1"/>
  <c r="E482" i="20" s="1"/>
  <c r="F482" i="20" s="1"/>
  <c r="D483" i="20" s="1"/>
  <c r="E483" i="20" s="1"/>
  <c r="F483" i="20" s="1"/>
  <c r="D484" i="20" s="1"/>
  <c r="E484" i="20" s="1"/>
  <c r="F484" i="20" s="1"/>
  <c r="D485" i="20" s="1"/>
  <c r="E485" i="20" s="1"/>
  <c r="F485" i="20" s="1"/>
  <c r="D486" i="20" s="1"/>
  <c r="E486" i="20" s="1"/>
  <c r="F486" i="20" s="1"/>
  <c r="D487" i="20" s="1"/>
  <c r="E487" i="20" s="1"/>
  <c r="F487" i="20" s="1"/>
  <c r="D488" i="20" s="1"/>
  <c r="E488" i="20" s="1"/>
  <c r="F488" i="20" s="1"/>
  <c r="D489" i="20" s="1"/>
  <c r="E489" i="20" s="1"/>
  <c r="F489" i="20" s="1"/>
  <c r="D490" i="20" s="1"/>
  <c r="E490" i="20" s="1"/>
  <c r="F490" i="20" s="1"/>
  <c r="D491" i="20" s="1"/>
  <c r="E491" i="20" s="1"/>
  <c r="F491" i="20" s="1"/>
  <c r="D492" i="20" s="1"/>
  <c r="E492" i="20" s="1"/>
  <c r="F492" i="20" s="1"/>
  <c r="D493" i="20" s="1"/>
  <c r="E493" i="20" s="1"/>
  <c r="F493" i="20" s="1"/>
  <c r="D494" i="20" s="1"/>
  <c r="E494" i="20" s="1"/>
  <c r="F494" i="20" s="1"/>
  <c r="D495" i="20" s="1"/>
  <c r="E495" i="20" s="1"/>
  <c r="F495" i="20" s="1"/>
  <c r="D496" i="20" s="1"/>
  <c r="E496" i="20" s="1"/>
  <c r="F496" i="20" s="1"/>
  <c r="D497" i="20" s="1"/>
  <c r="E497" i="20" s="1"/>
  <c r="F497" i="20" s="1"/>
  <c r="D498" i="20" s="1"/>
  <c r="E498" i="20" s="1"/>
  <c r="F498" i="20" s="1"/>
  <c r="D499" i="20" s="1"/>
  <c r="E499" i="20" s="1"/>
  <c r="F499" i="20" s="1"/>
  <c r="D500" i="20" s="1"/>
  <c r="E500" i="20" s="1"/>
  <c r="F500" i="20" s="1"/>
  <c r="D501" i="20" s="1"/>
  <c r="E501" i="20" s="1"/>
  <c r="F501" i="20" s="1"/>
  <c r="D502" i="20" s="1"/>
  <c r="E502" i="20" s="1"/>
  <c r="F502" i="20" s="1"/>
  <c r="D503" i="20" s="1"/>
  <c r="E503" i="20" s="1"/>
  <c r="F503" i="20" s="1"/>
  <c r="D504" i="20" s="1"/>
  <c r="E504" i="20" s="1"/>
  <c r="F504" i="20" s="1"/>
  <c r="D505" i="20" s="1"/>
  <c r="E505" i="20" s="1"/>
  <c r="F505" i="20" s="1"/>
  <c r="D506" i="20" s="1"/>
  <c r="E506" i="20" s="1"/>
  <c r="F506" i="20" s="1"/>
  <c r="D507" i="20" s="1"/>
  <c r="E507" i="20" s="1"/>
  <c r="F507" i="20" s="1"/>
  <c r="D508" i="20" s="1"/>
  <c r="E508" i="20" s="1"/>
  <c r="F508" i="20" s="1"/>
  <c r="D509" i="20" s="1"/>
  <c r="E509" i="20" s="1"/>
  <c r="F509" i="20" s="1"/>
  <c r="D510" i="20" s="1"/>
  <c r="E510" i="20" s="1"/>
  <c r="F510" i="20" s="1"/>
  <c r="D511" i="20" s="1"/>
  <c r="E511" i="20" s="1"/>
  <c r="F511" i="20" s="1"/>
  <c r="D512" i="20" s="1"/>
  <c r="E512" i="20" s="1"/>
  <c r="F512" i="20" s="1"/>
  <c r="D513" i="20" s="1"/>
  <c r="E513" i="20" s="1"/>
  <c r="F513" i="20" s="1"/>
  <c r="D514" i="20" s="1"/>
  <c r="E514" i="20" s="1"/>
  <c r="F514" i="20" s="1"/>
  <c r="D515" i="20" s="1"/>
  <c r="E515" i="20" s="1"/>
  <c r="F515" i="20" s="1"/>
  <c r="D516" i="20" s="1"/>
  <c r="E516" i="20" s="1"/>
  <c r="F516" i="20" s="1"/>
  <c r="D517" i="20" s="1"/>
  <c r="E517" i="20" s="1"/>
  <c r="F517" i="20" s="1"/>
  <c r="D518" i="20" s="1"/>
  <c r="E161" i="20"/>
  <c r="E162" i="20" s="1"/>
  <c r="E1052" i="20"/>
  <c r="E1053" i="20" s="1"/>
  <c r="E361" i="13"/>
  <c r="F361" i="13" s="1"/>
  <c r="E447" i="13"/>
  <c r="F447" i="13" s="1"/>
  <c r="D448" i="13" s="1"/>
  <c r="E1230" i="20"/>
  <c r="E1231" i="20" s="1"/>
  <c r="E1135" i="13"/>
  <c r="F1135" i="13" s="1"/>
  <c r="D1136" i="13" s="1"/>
  <c r="E619" i="13"/>
  <c r="F619" i="13" s="1"/>
  <c r="D620" i="13" s="1"/>
  <c r="E1222" i="13"/>
  <c r="F1222" i="13" s="1"/>
  <c r="D1223" i="13" s="1"/>
  <c r="E533" i="13"/>
  <c r="F533" i="13" s="1"/>
  <c r="D534" i="13" s="1"/>
  <c r="E429" i="20"/>
  <c r="E430" i="20" s="1"/>
  <c r="E668" i="20"/>
  <c r="F668" i="20" s="1"/>
  <c r="D669" i="20" s="1"/>
  <c r="E669" i="20" s="1"/>
  <c r="F669" i="20" s="1"/>
  <c r="D670" i="20" s="1"/>
  <c r="E670" i="20" s="1"/>
  <c r="F670" i="20" s="1"/>
  <c r="D671" i="20" s="1"/>
  <c r="E671" i="20" s="1"/>
  <c r="F671" i="20" s="1"/>
  <c r="D672" i="20" s="1"/>
  <c r="E672" i="20" s="1"/>
  <c r="F672" i="20" s="1"/>
  <c r="D673" i="20" s="1"/>
  <c r="E673" i="20" s="1"/>
  <c r="F673" i="20" s="1"/>
  <c r="D674" i="20" s="1"/>
  <c r="E674" i="20" s="1"/>
  <c r="F674" i="20" s="1"/>
  <c r="D675" i="20" s="1"/>
  <c r="E675" i="20" s="1"/>
  <c r="F675" i="20" s="1"/>
  <c r="D676" i="20" s="1"/>
  <c r="E676" i="20" s="1"/>
  <c r="F676" i="20" s="1"/>
  <c r="D677" i="20" s="1"/>
  <c r="E677" i="20" s="1"/>
  <c r="F677" i="20" s="1"/>
  <c r="D678" i="20" s="1"/>
  <c r="E678" i="20" s="1"/>
  <c r="F678" i="20" s="1"/>
  <c r="D679" i="20" s="1"/>
  <c r="E679" i="20" s="1"/>
  <c r="F679" i="20" s="1"/>
  <c r="D680" i="20" s="1"/>
  <c r="E680" i="20" s="1"/>
  <c r="F680" i="20" s="1"/>
  <c r="D681" i="20" s="1"/>
  <c r="E681" i="20" s="1"/>
  <c r="F681" i="20" s="1"/>
  <c r="D682" i="20" s="1"/>
  <c r="E682" i="20" s="1"/>
  <c r="F682" i="20" s="1"/>
  <c r="D683" i="20" s="1"/>
  <c r="E683" i="20" s="1"/>
  <c r="F683" i="20" s="1"/>
  <c r="D684" i="20" s="1"/>
  <c r="E684" i="20" s="1"/>
  <c r="F684" i="20" s="1"/>
  <c r="D685" i="20" s="1"/>
  <c r="E685" i="20" s="1"/>
  <c r="F685" i="20" s="1"/>
  <c r="D686" i="20" s="1"/>
  <c r="E686" i="20" s="1"/>
  <c r="F686" i="20" s="1"/>
  <c r="D687" i="20" s="1"/>
  <c r="E687" i="20" s="1"/>
  <c r="F687" i="20" s="1"/>
  <c r="D688" i="20" s="1"/>
  <c r="E688" i="20" s="1"/>
  <c r="F688" i="20" s="1"/>
  <c r="D689" i="20" s="1"/>
  <c r="E689" i="20" s="1"/>
  <c r="F689" i="20" s="1"/>
  <c r="D690" i="20" s="1"/>
  <c r="E690" i="20" s="1"/>
  <c r="F690" i="20" s="1"/>
  <c r="D691" i="20" s="1"/>
  <c r="E691" i="20" s="1"/>
  <c r="F691" i="20" s="1"/>
  <c r="D692" i="20" s="1"/>
  <c r="E692" i="20" s="1"/>
  <c r="F692" i="20" s="1"/>
  <c r="D693" i="20" s="1"/>
  <c r="E693" i="20" s="1"/>
  <c r="F693" i="20" s="1"/>
  <c r="D694" i="20" s="1"/>
  <c r="E694" i="20" s="1"/>
  <c r="F694" i="20" s="1"/>
  <c r="D695" i="20" s="1"/>
  <c r="E695" i="20" s="1"/>
  <c r="F695" i="20" s="1"/>
  <c r="D696" i="20" s="1"/>
  <c r="E877" i="13"/>
  <c r="F877" i="13" s="1"/>
  <c r="D878" i="13" s="1"/>
  <c r="F785" i="20"/>
  <c r="E791" i="13"/>
  <c r="F791" i="13" s="1"/>
  <c r="D792" i="13" s="1"/>
  <c r="E705" i="13"/>
  <c r="F705" i="13" s="1"/>
  <c r="E1049" i="13"/>
  <c r="F1049" i="13" s="1"/>
  <c r="D1050" i="13" s="1"/>
  <c r="G274" i="13"/>
  <c r="D275" i="13"/>
  <c r="E963" i="13"/>
  <c r="F963" i="13" s="1"/>
  <c r="D964" i="13" s="1"/>
  <c r="E1141" i="20"/>
  <c r="E1142" i="20" s="1"/>
  <c r="G1308" i="13"/>
  <c r="D1309" i="13"/>
  <c r="E189" i="13"/>
  <c r="F189" i="13" s="1"/>
  <c r="D190" i="13" s="1"/>
  <c r="E963" i="20"/>
  <c r="E964" i="20" s="1"/>
  <c r="E103" i="13"/>
  <c r="F103" i="13" s="1"/>
  <c r="F874" i="20"/>
  <c r="G208" i="2"/>
  <c r="F1052" i="20" l="1"/>
  <c r="G447" i="13"/>
  <c r="F607" i="20"/>
  <c r="F161" i="20"/>
  <c r="G533" i="13"/>
  <c r="F963" i="20"/>
  <c r="G189" i="13"/>
  <c r="G1222" i="13"/>
  <c r="D104" i="13"/>
  <c r="E104" i="13" s="1"/>
  <c r="F104" i="13" s="1"/>
  <c r="G103" i="13"/>
  <c r="G1135" i="13"/>
  <c r="D706" i="13"/>
  <c r="E706" i="13" s="1"/>
  <c r="F706" i="13" s="1"/>
  <c r="D707" i="13" s="1"/>
  <c r="G705" i="13"/>
  <c r="D362" i="13"/>
  <c r="E362" i="13" s="1"/>
  <c r="F362" i="13" s="1"/>
  <c r="D363" i="13" s="1"/>
  <c r="G361" i="13"/>
  <c r="G619" i="13"/>
  <c r="F1141" i="20"/>
  <c r="F429" i="20"/>
  <c r="G877" i="13"/>
  <c r="E964" i="13"/>
  <c r="F964" i="13" s="1"/>
  <c r="D965" i="13" s="1"/>
  <c r="E696" i="20"/>
  <c r="E697" i="20" s="1"/>
  <c r="E275" i="13"/>
  <c r="F275" i="13" s="1"/>
  <c r="G1049" i="13"/>
  <c r="E1050" i="13"/>
  <c r="F1050" i="13" s="1"/>
  <c r="D1051" i="13" s="1"/>
  <c r="E792" i="13"/>
  <c r="F792" i="13" s="1"/>
  <c r="D793" i="13" s="1"/>
  <c r="E518" i="20"/>
  <c r="E519" i="20" s="1"/>
  <c r="E534" i="13"/>
  <c r="F534" i="13" s="1"/>
  <c r="D535" i="13" s="1"/>
  <c r="E448" i="13"/>
  <c r="F448" i="13" s="1"/>
  <c r="D449" i="13" s="1"/>
  <c r="E1223" i="13"/>
  <c r="F1223" i="13" s="1"/>
  <c r="D1224" i="13" s="1"/>
  <c r="E190" i="13"/>
  <c r="F190" i="13" s="1"/>
  <c r="D191" i="13" s="1"/>
  <c r="G791" i="13"/>
  <c r="E1309" i="13"/>
  <c r="E620" i="13"/>
  <c r="F620" i="13" s="1"/>
  <c r="E1136" i="13"/>
  <c r="F1136" i="13" s="1"/>
  <c r="D1137" i="13" s="1"/>
  <c r="G963" i="13"/>
  <c r="E878" i="13"/>
  <c r="F878" i="13" s="1"/>
  <c r="D879" i="13" s="1"/>
  <c r="F1230" i="20"/>
  <c r="G190" i="13" l="1"/>
  <c r="D621" i="13"/>
  <c r="E621" i="13" s="1"/>
  <c r="F621" i="13" s="1"/>
  <c r="D622" i="13" s="1"/>
  <c r="G620" i="13"/>
  <c r="G964" i="13"/>
  <c r="G1136" i="13"/>
  <c r="D105" i="13"/>
  <c r="E105" i="13" s="1"/>
  <c r="F105" i="13" s="1"/>
  <c r="D106" i="13" s="1"/>
  <c r="G104" i="13"/>
  <c r="G448" i="13"/>
  <c r="G706" i="13"/>
  <c r="G534" i="13"/>
  <c r="D276" i="13"/>
  <c r="G275" i="13"/>
  <c r="E879" i="13"/>
  <c r="F879" i="13" s="1"/>
  <c r="D880" i="13" s="1"/>
  <c r="E1137" i="13"/>
  <c r="F1137" i="13" s="1"/>
  <c r="D1138" i="13" s="1"/>
  <c r="E535" i="13"/>
  <c r="F535" i="13" s="1"/>
  <c r="G1050" i="13"/>
  <c r="E1051" i="13"/>
  <c r="F1051" i="13" s="1"/>
  <c r="D1052" i="13" s="1"/>
  <c r="E1224" i="13"/>
  <c r="F1224" i="13" s="1"/>
  <c r="D1225" i="13" s="1"/>
  <c r="G792" i="13"/>
  <c r="E449" i="13"/>
  <c r="F449" i="13" s="1"/>
  <c r="D450" i="13" s="1"/>
  <c r="G362" i="13"/>
  <c r="E793" i="13"/>
  <c r="F793" i="13" s="1"/>
  <c r="D794" i="13" s="1"/>
  <c r="G878" i="13"/>
  <c r="F696" i="20"/>
  <c r="F1309" i="13"/>
  <c r="E707" i="13"/>
  <c r="F707" i="13" s="1"/>
  <c r="D708" i="13" s="1"/>
  <c r="E363" i="13"/>
  <c r="F363" i="13" s="1"/>
  <c r="D364" i="13" s="1"/>
  <c r="E191" i="13"/>
  <c r="F191" i="13" s="1"/>
  <c r="D192" i="13" s="1"/>
  <c r="G1223" i="13"/>
  <c r="F518" i="20"/>
  <c r="E965" i="13"/>
  <c r="F965" i="13" s="1"/>
  <c r="K45" i="48"/>
  <c r="G161" i="2"/>
  <c r="G191" i="13" l="1"/>
  <c r="G363" i="13"/>
  <c r="G1137" i="13"/>
  <c r="G707" i="13"/>
  <c r="G793" i="13"/>
  <c r="D966" i="13"/>
  <c r="E966" i="13" s="1"/>
  <c r="F966" i="13" s="1"/>
  <c r="D967" i="13" s="1"/>
  <c r="G965" i="13"/>
  <c r="G449" i="13"/>
  <c r="G1224" i="13"/>
  <c r="G879" i="13"/>
  <c r="G105" i="13"/>
  <c r="G1051" i="13"/>
  <c r="D536" i="13"/>
  <c r="G535" i="13"/>
  <c r="E1225" i="13"/>
  <c r="F1225" i="13" s="1"/>
  <c r="D1226" i="13" s="1"/>
  <c r="D1310" i="13"/>
  <c r="G1309" i="13"/>
  <c r="E1052" i="13"/>
  <c r="F1052" i="13" s="1"/>
  <c r="D1053" i="13" s="1"/>
  <c r="E622" i="13"/>
  <c r="F622" i="13" s="1"/>
  <c r="D623" i="13" s="1"/>
  <c r="E794" i="13"/>
  <c r="F794" i="13" s="1"/>
  <c r="D795" i="13" s="1"/>
  <c r="E192" i="13"/>
  <c r="F192" i="13" s="1"/>
  <c r="D193" i="13" s="1"/>
  <c r="G621" i="13"/>
  <c r="E106" i="13"/>
  <c r="F106" i="13" s="1"/>
  <c r="D107" i="13" s="1"/>
  <c r="E1138" i="13"/>
  <c r="F1138" i="13" s="1"/>
  <c r="D1139" i="13" s="1"/>
  <c r="E364" i="13"/>
  <c r="F364" i="13" s="1"/>
  <c r="D365" i="13" s="1"/>
  <c r="E450" i="13"/>
  <c r="F450" i="13" s="1"/>
  <c r="D451" i="13" s="1"/>
  <c r="E880" i="13"/>
  <c r="F880" i="13" s="1"/>
  <c r="D881" i="13" s="1"/>
  <c r="E708" i="13"/>
  <c r="F708" i="13" s="1"/>
  <c r="D709" i="13" s="1"/>
  <c r="E276" i="13"/>
  <c r="G450" i="13" l="1"/>
  <c r="G794" i="13"/>
  <c r="G1138" i="13"/>
  <c r="G106" i="13"/>
  <c r="G1052" i="13"/>
  <c r="G192" i="13"/>
  <c r="G966" i="13"/>
  <c r="G364" i="13"/>
  <c r="G1225" i="13"/>
  <c r="G880" i="13"/>
  <c r="G622" i="13"/>
  <c r="E623" i="13"/>
  <c r="F623" i="13" s="1"/>
  <c r="D624" i="13" s="1"/>
  <c r="E709" i="13"/>
  <c r="F709" i="13" s="1"/>
  <c r="D710" i="13" s="1"/>
  <c r="E795" i="13"/>
  <c r="F795" i="13" s="1"/>
  <c r="D796" i="13" s="1"/>
  <c r="E881" i="13"/>
  <c r="F881" i="13" s="1"/>
  <c r="D882" i="13" s="1"/>
  <c r="E967" i="13"/>
  <c r="F967" i="13" s="1"/>
  <c r="D968" i="13" s="1"/>
  <c r="E451" i="13"/>
  <c r="F451" i="13" s="1"/>
  <c r="D452" i="13" s="1"/>
  <c r="E365" i="13"/>
  <c r="F365" i="13" s="1"/>
  <c r="D366" i="13" s="1"/>
  <c r="E1053" i="13"/>
  <c r="F1053" i="13" s="1"/>
  <c r="D1054" i="13" s="1"/>
  <c r="E1139" i="13"/>
  <c r="F1139" i="13" s="1"/>
  <c r="D1140" i="13" s="1"/>
  <c r="E1310" i="13"/>
  <c r="F1310" i="13" s="1"/>
  <c r="E107" i="13"/>
  <c r="F107" i="13" s="1"/>
  <c r="D108" i="13" s="1"/>
  <c r="E1226" i="13"/>
  <c r="F1226" i="13" s="1"/>
  <c r="D1227" i="13" s="1"/>
  <c r="F276" i="13"/>
  <c r="G708" i="13"/>
  <c r="E193" i="13"/>
  <c r="F193" i="13" s="1"/>
  <c r="D194" i="13" s="1"/>
  <c r="E536" i="13"/>
  <c r="F536" i="13" s="1"/>
  <c r="D537" i="13" s="1"/>
  <c r="F43" i="48"/>
  <c r="F47" i="48"/>
  <c r="C23" i="48" s="1"/>
  <c r="D43" i="48"/>
  <c r="G159" i="2"/>
  <c r="G165" i="2" s="1"/>
  <c r="D47" i="48"/>
  <c r="G795" i="13" l="1"/>
  <c r="G623" i="13"/>
  <c r="D1311" i="13"/>
  <c r="E1311" i="13" s="1"/>
  <c r="F1311" i="13" s="1"/>
  <c r="D1312" i="13" s="1"/>
  <c r="G1310" i="13"/>
  <c r="G1139" i="13"/>
  <c r="G536" i="13"/>
  <c r="G1053" i="13"/>
  <c r="G193" i="13"/>
  <c r="G107" i="13"/>
  <c r="G881" i="13"/>
  <c r="G709" i="13"/>
  <c r="G967" i="13"/>
  <c r="E108" i="13"/>
  <c r="F108" i="13" s="1"/>
  <c r="D109" i="13" s="1"/>
  <c r="E1227" i="13"/>
  <c r="F1227" i="13" s="1"/>
  <c r="D1228" i="13" s="1"/>
  <c r="E452" i="13"/>
  <c r="F452" i="13" s="1"/>
  <c r="D453" i="13" s="1"/>
  <c r="E968" i="13"/>
  <c r="F968" i="13" s="1"/>
  <c r="D969" i="13" s="1"/>
  <c r="E882" i="13"/>
  <c r="F882" i="13" s="1"/>
  <c r="D883" i="13" s="1"/>
  <c r="G1226" i="13"/>
  <c r="E366" i="13"/>
  <c r="F366" i="13" s="1"/>
  <c r="D367" i="13" s="1"/>
  <c r="D277" i="13"/>
  <c r="G276" i="13"/>
  <c r="G451" i="13"/>
  <c r="E796" i="13"/>
  <c r="F796" i="13" s="1"/>
  <c r="D797" i="13" s="1"/>
  <c r="E537" i="13"/>
  <c r="F537" i="13" s="1"/>
  <c r="D538" i="13" s="1"/>
  <c r="E1140" i="13"/>
  <c r="F1140" i="13" s="1"/>
  <c r="D1141" i="13" s="1"/>
  <c r="E710" i="13"/>
  <c r="F710" i="13" s="1"/>
  <c r="D711" i="13" s="1"/>
  <c r="E194" i="13"/>
  <c r="F194" i="13" s="1"/>
  <c r="D195" i="13" s="1"/>
  <c r="E1054" i="13"/>
  <c r="F1054" i="13" s="1"/>
  <c r="D1055" i="13" s="1"/>
  <c r="E624" i="13"/>
  <c r="F624" i="13" s="1"/>
  <c r="D625" i="13" s="1"/>
  <c r="G365" i="13"/>
  <c r="L165" i="2"/>
  <c r="C22" i="48"/>
  <c r="G968" i="13" l="1"/>
  <c r="G108" i="13"/>
  <c r="G1227" i="13"/>
  <c r="G624" i="13"/>
  <c r="G710" i="13"/>
  <c r="G452" i="13"/>
  <c r="G796" i="13"/>
  <c r="G1311" i="13"/>
  <c r="G1054" i="13"/>
  <c r="G1140" i="13"/>
  <c r="E367" i="13"/>
  <c r="F367" i="13" s="1"/>
  <c r="D368" i="13" s="1"/>
  <c r="E883" i="13"/>
  <c r="F883" i="13" s="1"/>
  <c r="D884" i="13" s="1"/>
  <c r="G366" i="13"/>
  <c r="E538" i="13"/>
  <c r="F538" i="13" s="1"/>
  <c r="D539" i="13" s="1"/>
  <c r="E195" i="13"/>
  <c r="F195" i="13" s="1"/>
  <c r="D196" i="13" s="1"/>
  <c r="E277" i="13"/>
  <c r="E711" i="13"/>
  <c r="F711" i="13" s="1"/>
  <c r="D712" i="13" s="1"/>
  <c r="E1141" i="13"/>
  <c r="F1141" i="13" s="1"/>
  <c r="D1142" i="13" s="1"/>
  <c r="G882" i="13"/>
  <c r="G537" i="13"/>
  <c r="E969" i="13"/>
  <c r="F969" i="13" s="1"/>
  <c r="D970" i="13" s="1"/>
  <c r="E797" i="13"/>
  <c r="F797" i="13" s="1"/>
  <c r="D798" i="13" s="1"/>
  <c r="E453" i="13"/>
  <c r="F453" i="13" s="1"/>
  <c r="D454" i="13" s="1"/>
  <c r="E625" i="13"/>
  <c r="F625" i="13" s="1"/>
  <c r="D626" i="13" s="1"/>
  <c r="E1312" i="13"/>
  <c r="E1228" i="13"/>
  <c r="F1228" i="13" s="1"/>
  <c r="D1229" i="13" s="1"/>
  <c r="E1055" i="13"/>
  <c r="F1055" i="13" s="1"/>
  <c r="D1056" i="13" s="1"/>
  <c r="G194" i="13"/>
  <c r="E109" i="13"/>
  <c r="F109" i="13" s="1"/>
  <c r="D110" i="13" s="1"/>
  <c r="G22" i="48"/>
  <c r="G797" i="13" l="1"/>
  <c r="G883" i="13"/>
  <c r="G969" i="13"/>
  <c r="G538" i="13"/>
  <c r="G367" i="13"/>
  <c r="G109" i="13"/>
  <c r="G195" i="13"/>
  <c r="G711" i="13"/>
  <c r="G1055" i="13"/>
  <c r="G453" i="13"/>
  <c r="E1229" i="13"/>
  <c r="F1229" i="13" s="1"/>
  <c r="D1230" i="13" s="1"/>
  <c r="G625" i="13"/>
  <c r="E626" i="13"/>
  <c r="F626" i="13" s="1"/>
  <c r="D627" i="13" s="1"/>
  <c r="E1142" i="13"/>
  <c r="F1142" i="13" s="1"/>
  <c r="D1143" i="13" s="1"/>
  <c r="F1312" i="13"/>
  <c r="E712" i="13"/>
  <c r="F712" i="13" s="1"/>
  <c r="D713" i="13" s="1"/>
  <c r="F277" i="13"/>
  <c r="E454" i="13"/>
  <c r="F454" i="13" s="1"/>
  <c r="D455" i="13" s="1"/>
  <c r="E196" i="13"/>
  <c r="F196" i="13" s="1"/>
  <c r="D197" i="13" s="1"/>
  <c r="E798" i="13"/>
  <c r="F798" i="13" s="1"/>
  <c r="D799" i="13" s="1"/>
  <c r="E539" i="13"/>
  <c r="F539" i="13" s="1"/>
  <c r="D540" i="13" s="1"/>
  <c r="E110" i="13"/>
  <c r="F110" i="13" s="1"/>
  <c r="D111" i="13" s="1"/>
  <c r="E970" i="13"/>
  <c r="F970" i="13" s="1"/>
  <c r="D971" i="13" s="1"/>
  <c r="E884" i="13"/>
  <c r="F884" i="13" s="1"/>
  <c r="D885" i="13" s="1"/>
  <c r="E1056" i="13"/>
  <c r="F1056" i="13" s="1"/>
  <c r="D1057" i="13" s="1"/>
  <c r="G1228" i="13"/>
  <c r="G1141" i="13"/>
  <c r="E368" i="13"/>
  <c r="F368" i="13" s="1"/>
  <c r="D369" i="13" s="1"/>
  <c r="G43" i="48"/>
  <c r="G47" i="48"/>
  <c r="G196" i="13" l="1"/>
  <c r="G798" i="13"/>
  <c r="G626" i="13"/>
  <c r="G110" i="13"/>
  <c r="G1229" i="13"/>
  <c r="G970" i="13"/>
  <c r="G1142" i="13"/>
  <c r="G539" i="13"/>
  <c r="G884" i="13"/>
  <c r="G368" i="13"/>
  <c r="D278" i="13"/>
  <c r="G277" i="13"/>
  <c r="E713" i="13"/>
  <c r="F713" i="13" s="1"/>
  <c r="D714" i="13" s="1"/>
  <c r="E1057" i="13"/>
  <c r="F1057" i="13" s="1"/>
  <c r="D1058" i="13" s="1"/>
  <c r="G712" i="13"/>
  <c r="E111" i="13"/>
  <c r="F111" i="13" s="1"/>
  <c r="D112" i="13" s="1"/>
  <c r="E1143" i="13"/>
  <c r="F1143" i="13" s="1"/>
  <c r="D1144" i="13" s="1"/>
  <c r="E455" i="13"/>
  <c r="F455" i="13" s="1"/>
  <c r="D456" i="13" s="1"/>
  <c r="E885" i="13"/>
  <c r="F885" i="13" s="1"/>
  <c r="D886" i="13" s="1"/>
  <c r="E971" i="13"/>
  <c r="F971" i="13" s="1"/>
  <c r="D972" i="13" s="1"/>
  <c r="D1313" i="13"/>
  <c r="G1312" i="13"/>
  <c r="E540" i="13"/>
  <c r="F540" i="13" s="1"/>
  <c r="D541" i="13" s="1"/>
  <c r="E369" i="13"/>
  <c r="F369" i="13" s="1"/>
  <c r="D370" i="13" s="1"/>
  <c r="E799" i="13"/>
  <c r="F799" i="13" s="1"/>
  <c r="D800" i="13" s="1"/>
  <c r="E627" i="13"/>
  <c r="F627" i="13" s="1"/>
  <c r="D628" i="13" s="1"/>
  <c r="E197" i="13"/>
  <c r="F197" i="13" s="1"/>
  <c r="D198" i="13" s="1"/>
  <c r="G1056" i="13"/>
  <c r="G454" i="13"/>
  <c r="E1230" i="13"/>
  <c r="F1230" i="13" s="1"/>
  <c r="D1231" i="13" s="1"/>
  <c r="C24" i="48"/>
  <c r="G1143" i="13" l="1"/>
  <c r="G455" i="13"/>
  <c r="G713" i="13"/>
  <c r="E198" i="13"/>
  <c r="F198" i="13" s="1"/>
  <c r="D199" i="13" s="1"/>
  <c r="E456" i="13"/>
  <c r="F456" i="13" s="1"/>
  <c r="D457" i="13" s="1"/>
  <c r="G799" i="13"/>
  <c r="G369" i="13"/>
  <c r="G540" i="13"/>
  <c r="G1057" i="13"/>
  <c r="E886" i="13"/>
  <c r="F886" i="13" s="1"/>
  <c r="D887" i="13" s="1"/>
  <c r="E1058" i="13"/>
  <c r="F1058" i="13" s="1"/>
  <c r="D1059" i="13" s="1"/>
  <c r="G627" i="13"/>
  <c r="E800" i="13"/>
  <c r="F800" i="13" s="1"/>
  <c r="D801" i="13" s="1"/>
  <c r="E112" i="13"/>
  <c r="F112" i="13" s="1"/>
  <c r="D113" i="13" s="1"/>
  <c r="E1231" i="13"/>
  <c r="F1231" i="13" s="1"/>
  <c r="D1232" i="13" s="1"/>
  <c r="E1313" i="13"/>
  <c r="F1313" i="13" s="1"/>
  <c r="D1314" i="13" s="1"/>
  <c r="E628" i="13"/>
  <c r="F628" i="13" s="1"/>
  <c r="D629" i="13" s="1"/>
  <c r="E1144" i="13"/>
  <c r="F1144" i="13" s="1"/>
  <c r="D1145" i="13" s="1"/>
  <c r="G111" i="13"/>
  <c r="E541" i="13"/>
  <c r="F541" i="13" s="1"/>
  <c r="D542" i="13" s="1"/>
  <c r="G971" i="13"/>
  <c r="E714" i="13"/>
  <c r="F714" i="13" s="1"/>
  <c r="D715" i="13" s="1"/>
  <c r="E370" i="13"/>
  <c r="F370" i="13" s="1"/>
  <c r="D371" i="13" s="1"/>
  <c r="G1230" i="13"/>
  <c r="E972" i="13"/>
  <c r="F972" i="13" s="1"/>
  <c r="D973" i="13" s="1"/>
  <c r="G197" i="13"/>
  <c r="G885" i="13"/>
  <c r="E278" i="13"/>
  <c r="F278" i="13" s="1"/>
  <c r="D279" i="13" s="1"/>
  <c r="H43" i="48"/>
  <c r="H47" i="48"/>
  <c r="G24" i="48"/>
  <c r="G1144" i="13" l="1"/>
  <c r="G278" i="13"/>
  <c r="G370" i="13"/>
  <c r="G1058" i="13"/>
  <c r="G541" i="13"/>
  <c r="G972" i="13"/>
  <c r="G112" i="13"/>
  <c r="G1313" i="13"/>
  <c r="G1231" i="13"/>
  <c r="G886" i="13"/>
  <c r="G198" i="13"/>
  <c r="G456" i="13"/>
  <c r="G714" i="13"/>
  <c r="E1059" i="13"/>
  <c r="F1059" i="13" s="1"/>
  <c r="D1060" i="13" s="1"/>
  <c r="E629" i="13"/>
  <c r="F629" i="13" s="1"/>
  <c r="D630" i="13" s="1"/>
  <c r="E801" i="13"/>
  <c r="F801" i="13" s="1"/>
  <c r="D802" i="13" s="1"/>
  <c r="E542" i="13"/>
  <c r="F542" i="13" s="1"/>
  <c r="D543" i="13" s="1"/>
  <c r="E279" i="13"/>
  <c r="F279" i="13" s="1"/>
  <c r="D280" i="13" s="1"/>
  <c r="E1145" i="13"/>
  <c r="F1145" i="13" s="1"/>
  <c r="D1146" i="13" s="1"/>
  <c r="G628" i="13"/>
  <c r="E887" i="13"/>
  <c r="F887" i="13" s="1"/>
  <c r="D888" i="13" s="1"/>
  <c r="E973" i="13"/>
  <c r="F973" i="13" s="1"/>
  <c r="D974" i="13" s="1"/>
  <c r="E1314" i="13"/>
  <c r="F1314" i="13" s="1"/>
  <c r="D1315" i="13" s="1"/>
  <c r="E371" i="13"/>
  <c r="F371" i="13" s="1"/>
  <c r="D372" i="13" s="1"/>
  <c r="E1232" i="13"/>
  <c r="F1232" i="13" s="1"/>
  <c r="D1233" i="13" s="1"/>
  <c r="E457" i="13"/>
  <c r="F457" i="13" s="1"/>
  <c r="D458" i="13" s="1"/>
  <c r="E715" i="13"/>
  <c r="F715" i="13" s="1"/>
  <c r="D716" i="13" s="1"/>
  <c r="E113" i="13"/>
  <c r="F113" i="13" s="1"/>
  <c r="D114" i="13" s="1"/>
  <c r="G800" i="13"/>
  <c r="E199" i="13"/>
  <c r="F199" i="13" s="1"/>
  <c r="D200" i="13" s="1"/>
  <c r="C25" i="48"/>
  <c r="G371" i="13" l="1"/>
  <c r="G1232" i="13"/>
  <c r="G1059" i="13"/>
  <c r="G542" i="13"/>
  <c r="G199" i="13"/>
  <c r="G1314" i="13"/>
  <c r="G715" i="13"/>
  <c r="G1145" i="13"/>
  <c r="E280" i="13"/>
  <c r="F280" i="13" s="1"/>
  <c r="D281" i="13" s="1"/>
  <c r="E888" i="13"/>
  <c r="F888" i="13" s="1"/>
  <c r="D889" i="13" s="1"/>
  <c r="G457" i="13"/>
  <c r="G279" i="13"/>
  <c r="E543" i="13"/>
  <c r="F543" i="13" s="1"/>
  <c r="D544" i="13" s="1"/>
  <c r="E372" i="13"/>
  <c r="F372" i="13" s="1"/>
  <c r="D373" i="13" s="1"/>
  <c r="G801" i="13"/>
  <c r="E716" i="13"/>
  <c r="F716" i="13" s="1"/>
  <c r="D717" i="13" s="1"/>
  <c r="E114" i="13"/>
  <c r="F114" i="13" s="1"/>
  <c r="D115" i="13" s="1"/>
  <c r="E458" i="13"/>
  <c r="F458" i="13" s="1"/>
  <c r="D459" i="13" s="1"/>
  <c r="E1233" i="13"/>
  <c r="F1233" i="13" s="1"/>
  <c r="D1234" i="13" s="1"/>
  <c r="E1315" i="13"/>
  <c r="F1315" i="13" s="1"/>
  <c r="D1316" i="13" s="1"/>
  <c r="G629" i="13"/>
  <c r="E802" i="13"/>
  <c r="F802" i="13" s="1"/>
  <c r="D803" i="13" s="1"/>
  <c r="E200" i="13"/>
  <c r="F200" i="13" s="1"/>
  <c r="D201" i="13" s="1"/>
  <c r="G973" i="13"/>
  <c r="E630" i="13"/>
  <c r="F630" i="13" s="1"/>
  <c r="D631" i="13" s="1"/>
  <c r="E1146" i="13"/>
  <c r="F1146" i="13" s="1"/>
  <c r="D1147" i="13" s="1"/>
  <c r="E974" i="13"/>
  <c r="F974" i="13" s="1"/>
  <c r="D975" i="13" s="1"/>
  <c r="G113" i="13"/>
  <c r="G887" i="13"/>
  <c r="E1060" i="13"/>
  <c r="F1060" i="13" s="1"/>
  <c r="D1061" i="13" s="1"/>
  <c r="I43" i="48"/>
  <c r="I47" i="48"/>
  <c r="G1233" i="13" l="1"/>
  <c r="G458" i="13"/>
  <c r="G1060" i="13"/>
  <c r="G1315" i="13"/>
  <c r="G200" i="13"/>
  <c r="G974" i="13"/>
  <c r="G543" i="13"/>
  <c r="G1146" i="13"/>
  <c r="G802" i="13"/>
  <c r="G372" i="13"/>
  <c r="G630" i="13"/>
  <c r="G114" i="13"/>
  <c r="E803" i="13"/>
  <c r="F803" i="13" s="1"/>
  <c r="D804" i="13" s="1"/>
  <c r="E717" i="13"/>
  <c r="F717" i="13" s="1"/>
  <c r="D718" i="13" s="1"/>
  <c r="E373" i="13"/>
  <c r="F373" i="13" s="1"/>
  <c r="D374" i="13" s="1"/>
  <c r="E544" i="13"/>
  <c r="F544" i="13" s="1"/>
  <c r="D545" i="13" s="1"/>
  <c r="E975" i="13"/>
  <c r="F975" i="13" s="1"/>
  <c r="D976" i="13" s="1"/>
  <c r="E1234" i="13"/>
  <c r="F1234" i="13" s="1"/>
  <c r="D1235" i="13" s="1"/>
  <c r="G888" i="13"/>
  <c r="E889" i="13"/>
  <c r="F889" i="13" s="1"/>
  <c r="D890" i="13" s="1"/>
  <c r="E1061" i="13"/>
  <c r="F1061" i="13" s="1"/>
  <c r="D1062" i="13" s="1"/>
  <c r="E1147" i="13"/>
  <c r="F1147" i="13" s="1"/>
  <c r="D1148" i="13" s="1"/>
  <c r="E459" i="13"/>
  <c r="F459" i="13" s="1"/>
  <c r="D460" i="13" s="1"/>
  <c r="G280" i="13"/>
  <c r="E201" i="13"/>
  <c r="F201" i="13" s="1"/>
  <c r="D202" i="13" s="1"/>
  <c r="E281" i="13"/>
  <c r="F281" i="13" s="1"/>
  <c r="D282" i="13" s="1"/>
  <c r="E1316" i="13"/>
  <c r="F1316" i="13" s="1"/>
  <c r="D1317" i="13" s="1"/>
  <c r="E631" i="13"/>
  <c r="F631" i="13" s="1"/>
  <c r="D632" i="13" s="1"/>
  <c r="E115" i="13"/>
  <c r="F115" i="13" s="1"/>
  <c r="D116" i="13" s="1"/>
  <c r="G716" i="13"/>
  <c r="C26" i="48"/>
  <c r="G1316" i="13" l="1"/>
  <c r="G459" i="13"/>
  <c r="G1147" i="13"/>
  <c r="G631" i="13"/>
  <c r="G803" i="13"/>
  <c r="E1317" i="13"/>
  <c r="F1317" i="13" s="1"/>
  <c r="D1318" i="13" s="1"/>
  <c r="G281" i="13"/>
  <c r="E545" i="13"/>
  <c r="F545" i="13" s="1"/>
  <c r="D546" i="13" s="1"/>
  <c r="E890" i="13"/>
  <c r="F890" i="13" s="1"/>
  <c r="D891" i="13" s="1"/>
  <c r="G1234" i="13"/>
  <c r="E976" i="13"/>
  <c r="F976" i="13" s="1"/>
  <c r="D977" i="13" s="1"/>
  <c r="E460" i="13"/>
  <c r="F460" i="13" s="1"/>
  <c r="D461" i="13" s="1"/>
  <c r="G373" i="13"/>
  <c r="G201" i="13"/>
  <c r="E374" i="13"/>
  <c r="F374" i="13" s="1"/>
  <c r="D375" i="13" s="1"/>
  <c r="G115" i="13"/>
  <c r="E1148" i="13"/>
  <c r="F1148" i="13" s="1"/>
  <c r="D1149" i="13" s="1"/>
  <c r="G717" i="13"/>
  <c r="E282" i="13"/>
  <c r="F282" i="13" s="1"/>
  <c r="D283" i="13" s="1"/>
  <c r="G975" i="13"/>
  <c r="G544" i="13"/>
  <c r="E116" i="13"/>
  <c r="F116" i="13" s="1"/>
  <c r="D117" i="13" s="1"/>
  <c r="G1061" i="13"/>
  <c r="E718" i="13"/>
  <c r="F718" i="13" s="1"/>
  <c r="D719" i="13" s="1"/>
  <c r="E1235" i="13"/>
  <c r="F1235" i="13" s="1"/>
  <c r="D1236" i="13" s="1"/>
  <c r="E202" i="13"/>
  <c r="F202" i="13" s="1"/>
  <c r="D203" i="13" s="1"/>
  <c r="E1062" i="13"/>
  <c r="F1062" i="13" s="1"/>
  <c r="D1063" i="13" s="1"/>
  <c r="E632" i="13"/>
  <c r="F632" i="13" s="1"/>
  <c r="D633" i="13" s="1"/>
  <c r="G889" i="13"/>
  <c r="E804" i="13"/>
  <c r="F804" i="13" s="1"/>
  <c r="D805" i="13" s="1"/>
  <c r="J43" i="48"/>
  <c r="K43" i="48" s="1"/>
  <c r="J47" i="48"/>
  <c r="G282" i="13" l="1"/>
  <c r="G374" i="13"/>
  <c r="G632" i="13"/>
  <c r="G1062" i="13"/>
  <c r="G890" i="13"/>
  <c r="G116" i="13"/>
  <c r="G460" i="13"/>
  <c r="G1317" i="13"/>
  <c r="E977" i="13"/>
  <c r="F977" i="13" s="1"/>
  <c r="D978" i="13" s="1"/>
  <c r="G804" i="13"/>
  <c r="E117" i="13"/>
  <c r="F117" i="13" s="1"/>
  <c r="D118" i="13" s="1"/>
  <c r="E633" i="13"/>
  <c r="F633" i="13" s="1"/>
  <c r="D634" i="13" s="1"/>
  <c r="E283" i="13"/>
  <c r="F283" i="13" s="1"/>
  <c r="D284" i="13" s="1"/>
  <c r="E1063" i="13"/>
  <c r="F1063" i="13" s="1"/>
  <c r="D1064" i="13" s="1"/>
  <c r="E891" i="13"/>
  <c r="F891" i="13" s="1"/>
  <c r="D892" i="13" s="1"/>
  <c r="E805" i="13"/>
  <c r="F805" i="13" s="1"/>
  <c r="D806" i="13" s="1"/>
  <c r="G202" i="13"/>
  <c r="G1148" i="13"/>
  <c r="G545" i="13"/>
  <c r="E461" i="13"/>
  <c r="F461" i="13" s="1"/>
  <c r="D462" i="13" s="1"/>
  <c r="E546" i="13"/>
  <c r="F546" i="13" s="1"/>
  <c r="D547" i="13" s="1"/>
  <c r="E719" i="13"/>
  <c r="F719" i="13" s="1"/>
  <c r="D720" i="13" s="1"/>
  <c r="G976" i="13"/>
  <c r="E203" i="13"/>
  <c r="F203" i="13" s="1"/>
  <c r="D204" i="13" s="1"/>
  <c r="E1149" i="13"/>
  <c r="F1149" i="13" s="1"/>
  <c r="D1150" i="13" s="1"/>
  <c r="G1235" i="13"/>
  <c r="E1236" i="13"/>
  <c r="F1236" i="13" s="1"/>
  <c r="D1237" i="13" s="1"/>
  <c r="G718" i="13"/>
  <c r="E375" i="13"/>
  <c r="F375" i="13" s="1"/>
  <c r="D376" i="13" s="1"/>
  <c r="E1318" i="13"/>
  <c r="F1318" i="13" s="1"/>
  <c r="D1319" i="13" s="1"/>
  <c r="C27" i="48"/>
  <c r="K47" i="48"/>
  <c r="G633" i="13" l="1"/>
  <c r="G546" i="13"/>
  <c r="G203" i="13"/>
  <c r="G719" i="13"/>
  <c r="G1318" i="13"/>
  <c r="G461" i="13"/>
  <c r="G1149" i="13"/>
  <c r="G977" i="13"/>
  <c r="G1236" i="13"/>
  <c r="G891" i="13"/>
  <c r="G805" i="13"/>
  <c r="G375" i="13"/>
  <c r="E204" i="13"/>
  <c r="F204" i="13" s="1"/>
  <c r="D205" i="13" s="1"/>
  <c r="E720" i="13"/>
  <c r="F720" i="13" s="1"/>
  <c r="D721" i="13" s="1"/>
  <c r="E892" i="13"/>
  <c r="F892" i="13" s="1"/>
  <c r="D893" i="13" s="1"/>
  <c r="G283" i="13"/>
  <c r="E547" i="13"/>
  <c r="F547" i="13" s="1"/>
  <c r="D548" i="13" s="1"/>
  <c r="E376" i="13"/>
  <c r="F376" i="13" s="1"/>
  <c r="D377" i="13" s="1"/>
  <c r="E462" i="13"/>
  <c r="F462" i="13" s="1"/>
  <c r="D463" i="13" s="1"/>
  <c r="E634" i="13"/>
  <c r="F634" i="13" s="1"/>
  <c r="D635" i="13" s="1"/>
  <c r="E284" i="13"/>
  <c r="F284" i="13" s="1"/>
  <c r="D285" i="13" s="1"/>
  <c r="G117" i="13"/>
  <c r="E118" i="13"/>
  <c r="F118" i="13" s="1"/>
  <c r="D119" i="13" s="1"/>
  <c r="E1064" i="13"/>
  <c r="F1064" i="13" s="1"/>
  <c r="D1065" i="13" s="1"/>
  <c r="E1237" i="13"/>
  <c r="F1237" i="13" s="1"/>
  <c r="D1238" i="13" s="1"/>
  <c r="G1063" i="13"/>
  <c r="E1319" i="13"/>
  <c r="F1319" i="13" s="1"/>
  <c r="D1320" i="13" s="1"/>
  <c r="E1150" i="13"/>
  <c r="F1150" i="13" s="1"/>
  <c r="D1151" i="13" s="1"/>
  <c r="E806" i="13"/>
  <c r="F806" i="13" s="1"/>
  <c r="D807" i="13" s="1"/>
  <c r="E978" i="13"/>
  <c r="F978" i="13" s="1"/>
  <c r="D979" i="13" s="1"/>
  <c r="C28" i="48"/>
  <c r="G1064" i="13" l="1"/>
  <c r="G720" i="13"/>
  <c r="G547" i="13"/>
  <c r="G978" i="13"/>
  <c r="G1319" i="13"/>
  <c r="G376" i="13"/>
  <c r="G204" i="13"/>
  <c r="E1320" i="13"/>
  <c r="F1320" i="13" s="1"/>
  <c r="D1321" i="13" s="1"/>
  <c r="G1237" i="13"/>
  <c r="E635" i="13"/>
  <c r="F635" i="13" s="1"/>
  <c r="D636" i="13" s="1"/>
  <c r="G462" i="13"/>
  <c r="E377" i="13"/>
  <c r="F377" i="13" s="1"/>
  <c r="D378" i="13" s="1"/>
  <c r="E548" i="13"/>
  <c r="F548" i="13" s="1"/>
  <c r="D549" i="13" s="1"/>
  <c r="G118" i="13"/>
  <c r="G892" i="13"/>
  <c r="E1151" i="13"/>
  <c r="F1151" i="13" s="1"/>
  <c r="D1152" i="13" s="1"/>
  <c r="E119" i="13"/>
  <c r="F119" i="13" s="1"/>
  <c r="D120" i="13" s="1"/>
  <c r="E979" i="13"/>
  <c r="F979" i="13" s="1"/>
  <c r="D980" i="13" s="1"/>
  <c r="G806" i="13"/>
  <c r="G284" i="13"/>
  <c r="E721" i="13"/>
  <c r="F721" i="13" s="1"/>
  <c r="D722" i="13" s="1"/>
  <c r="E463" i="13"/>
  <c r="F463" i="13" s="1"/>
  <c r="D464" i="13" s="1"/>
  <c r="E1238" i="13"/>
  <c r="F1238" i="13" s="1"/>
  <c r="D1239" i="13" s="1"/>
  <c r="E1065" i="13"/>
  <c r="F1065" i="13" s="1"/>
  <c r="D1066" i="13" s="1"/>
  <c r="E807" i="13"/>
  <c r="F807" i="13" s="1"/>
  <c r="D808" i="13" s="1"/>
  <c r="E893" i="13"/>
  <c r="F893" i="13" s="1"/>
  <c r="D894" i="13" s="1"/>
  <c r="E285" i="13"/>
  <c r="F285" i="13" s="1"/>
  <c r="G1150" i="13"/>
  <c r="G634" i="13"/>
  <c r="E205" i="13"/>
  <c r="F205" i="13" s="1"/>
  <c r="D206" i="13" s="1"/>
  <c r="D24" i="48"/>
  <c r="E24" i="48" s="1"/>
  <c r="H24" i="48" s="1"/>
  <c r="I24" i="48" s="1"/>
  <c r="D23" i="48"/>
  <c r="E23" i="48" s="1"/>
  <c r="D22" i="48"/>
  <c r="E22" i="48" s="1"/>
  <c r="D25" i="48"/>
  <c r="E25" i="48" s="1"/>
  <c r="D26" i="48"/>
  <c r="E26" i="48" s="1"/>
  <c r="D27" i="48"/>
  <c r="E27" i="48" s="1"/>
  <c r="G205" i="13" l="1"/>
  <c r="G463" i="13"/>
  <c r="G635" i="13"/>
  <c r="G548" i="13"/>
  <c r="G979" i="13"/>
  <c r="G377" i="13"/>
  <c r="G721" i="13"/>
  <c r="G893" i="13"/>
  <c r="G1065" i="13"/>
  <c r="G1151" i="13"/>
  <c r="G1238" i="13"/>
  <c r="D286" i="13"/>
  <c r="G285" i="13"/>
  <c r="E1066" i="13"/>
  <c r="F1066" i="13" s="1"/>
  <c r="D1067" i="13" s="1"/>
  <c r="E1152" i="13"/>
  <c r="F1152" i="13" s="1"/>
  <c r="D1153" i="13" s="1"/>
  <c r="E1239" i="13"/>
  <c r="F1239" i="13" s="1"/>
  <c r="D1240" i="13" s="1"/>
  <c r="E206" i="13"/>
  <c r="F206" i="13" s="1"/>
  <c r="D207" i="13" s="1"/>
  <c r="E464" i="13"/>
  <c r="F464" i="13" s="1"/>
  <c r="D465" i="13" s="1"/>
  <c r="E549" i="13"/>
  <c r="F549" i="13" s="1"/>
  <c r="D550" i="13" s="1"/>
  <c r="E722" i="13"/>
  <c r="F722" i="13" s="1"/>
  <c r="D723" i="13" s="1"/>
  <c r="E378" i="13"/>
  <c r="F378" i="13" s="1"/>
  <c r="D379" i="13" s="1"/>
  <c r="E636" i="13"/>
  <c r="F636" i="13" s="1"/>
  <c r="D637" i="13" s="1"/>
  <c r="E894" i="13"/>
  <c r="F894" i="13" s="1"/>
  <c r="D895" i="13" s="1"/>
  <c r="E980" i="13"/>
  <c r="F980" i="13" s="1"/>
  <c r="D981" i="13" s="1"/>
  <c r="G807" i="13"/>
  <c r="G119" i="13"/>
  <c r="G1320" i="13"/>
  <c r="E808" i="13"/>
  <c r="F808" i="13" s="1"/>
  <c r="D809" i="13" s="1"/>
  <c r="E120" i="13"/>
  <c r="F120" i="13" s="1"/>
  <c r="D121" i="13" s="1"/>
  <c r="E1321" i="13"/>
  <c r="F1321" i="13" s="1"/>
  <c r="D1322" i="13" s="1"/>
  <c r="G171" i="2"/>
  <c r="H22" i="48"/>
  <c r="I22" i="48" s="1"/>
  <c r="G206" i="13" l="1"/>
  <c r="G980" i="13"/>
  <c r="G1066" i="13"/>
  <c r="G894" i="13"/>
  <c r="G1152" i="13"/>
  <c r="G549" i="13"/>
  <c r="G1239" i="13"/>
  <c r="G636" i="13"/>
  <c r="G378" i="13"/>
  <c r="G1321" i="13"/>
  <c r="E550" i="13"/>
  <c r="F550" i="13" s="1"/>
  <c r="D551" i="13" s="1"/>
  <c r="E809" i="13"/>
  <c r="F809" i="13" s="1"/>
  <c r="D810" i="13" s="1"/>
  <c r="G464" i="13"/>
  <c r="E981" i="13"/>
  <c r="F981" i="13" s="1"/>
  <c r="D982" i="13" s="1"/>
  <c r="E207" i="13"/>
  <c r="F207" i="13" s="1"/>
  <c r="D208" i="13" s="1"/>
  <c r="E1240" i="13"/>
  <c r="F1240" i="13" s="1"/>
  <c r="D1241" i="13" s="1"/>
  <c r="E637" i="13"/>
  <c r="F637" i="13" s="1"/>
  <c r="D638" i="13" s="1"/>
  <c r="E1153" i="13"/>
  <c r="F1153" i="13" s="1"/>
  <c r="D1154" i="13" s="1"/>
  <c r="E1322" i="13"/>
  <c r="F1322" i="13" s="1"/>
  <c r="D1323" i="13" s="1"/>
  <c r="G120" i="13"/>
  <c r="E379" i="13"/>
  <c r="F379" i="13" s="1"/>
  <c r="D380" i="13" s="1"/>
  <c r="E1067" i="13"/>
  <c r="F1067" i="13" s="1"/>
  <c r="D1068" i="13" s="1"/>
  <c r="E121" i="13"/>
  <c r="F121" i="13" s="1"/>
  <c r="D122" i="13" s="1"/>
  <c r="G722" i="13"/>
  <c r="E465" i="13"/>
  <c r="F465" i="13" s="1"/>
  <c r="D466" i="13" s="1"/>
  <c r="E895" i="13"/>
  <c r="F895" i="13" s="1"/>
  <c r="D896" i="13" s="1"/>
  <c r="G808" i="13"/>
  <c r="E723" i="13"/>
  <c r="F723" i="13" s="1"/>
  <c r="D724" i="13" s="1"/>
  <c r="E286" i="13"/>
  <c r="F286" i="13" s="1"/>
  <c r="D287" i="13" s="1"/>
  <c r="L171" i="2"/>
  <c r="G1240" i="13" l="1"/>
  <c r="G981" i="13"/>
  <c r="G465" i="13"/>
  <c r="G1067" i="13"/>
  <c r="G723" i="13"/>
  <c r="G637" i="13"/>
  <c r="G207" i="13"/>
  <c r="E466" i="13"/>
  <c r="F466" i="13" s="1"/>
  <c r="D467" i="13" s="1"/>
  <c r="G121" i="13"/>
  <c r="E1068" i="13"/>
  <c r="F1068" i="13" s="1"/>
  <c r="D1069" i="13" s="1"/>
  <c r="G286" i="13"/>
  <c r="G379" i="13"/>
  <c r="E982" i="13"/>
  <c r="F982" i="13" s="1"/>
  <c r="D983" i="13" s="1"/>
  <c r="E380" i="13"/>
  <c r="F380" i="13" s="1"/>
  <c r="D381" i="13" s="1"/>
  <c r="E122" i="13"/>
  <c r="F122" i="13" s="1"/>
  <c r="D123" i="13" s="1"/>
  <c r="G809" i="13"/>
  <c r="E724" i="13"/>
  <c r="F724" i="13" s="1"/>
  <c r="D725" i="13" s="1"/>
  <c r="G1322" i="13"/>
  <c r="E810" i="13"/>
  <c r="F810" i="13" s="1"/>
  <c r="D811" i="13" s="1"/>
  <c r="E896" i="13"/>
  <c r="F896" i="13" s="1"/>
  <c r="D897" i="13" s="1"/>
  <c r="E1241" i="13"/>
  <c r="F1241" i="13" s="1"/>
  <c r="D1242" i="13" s="1"/>
  <c r="E287" i="13"/>
  <c r="F287" i="13" s="1"/>
  <c r="D288" i="13" s="1"/>
  <c r="E1323" i="13"/>
  <c r="F1323" i="13" s="1"/>
  <c r="D1324" i="13" s="1"/>
  <c r="G550" i="13"/>
  <c r="E1154" i="13"/>
  <c r="F1154" i="13" s="1"/>
  <c r="D1155" i="13" s="1"/>
  <c r="E638" i="13"/>
  <c r="F638" i="13" s="1"/>
  <c r="D639" i="13" s="1"/>
  <c r="E208" i="13"/>
  <c r="F208" i="13" s="1"/>
  <c r="D209" i="13" s="1"/>
  <c r="G895" i="13"/>
  <c r="G1153" i="13"/>
  <c r="E551" i="13"/>
  <c r="F551" i="13" s="1"/>
  <c r="D552" i="13" s="1"/>
  <c r="G896" i="13" l="1"/>
  <c r="G466" i="13"/>
  <c r="G287" i="13"/>
  <c r="G380" i="13"/>
  <c r="G208" i="13"/>
  <c r="G1241" i="13"/>
  <c r="G724" i="13"/>
  <c r="G638" i="13"/>
  <c r="G122" i="13"/>
  <c r="E552" i="13"/>
  <c r="F552" i="13" s="1"/>
  <c r="D553" i="13" s="1"/>
  <c r="E123" i="13"/>
  <c r="F123" i="13" s="1"/>
  <c r="D124" i="13" s="1"/>
  <c r="E288" i="13"/>
  <c r="F288" i="13" s="1"/>
  <c r="D289" i="13" s="1"/>
  <c r="E1242" i="13"/>
  <c r="F1242" i="13" s="1"/>
  <c r="D1243" i="13" s="1"/>
  <c r="E897" i="13"/>
  <c r="F897" i="13" s="1"/>
  <c r="D898" i="13" s="1"/>
  <c r="E209" i="13"/>
  <c r="F209" i="13" s="1"/>
  <c r="D210" i="13" s="1"/>
  <c r="G810" i="13"/>
  <c r="G1068" i="13"/>
  <c r="E1069" i="13"/>
  <c r="F1069" i="13" s="1"/>
  <c r="D1070" i="13" s="1"/>
  <c r="G1323" i="13"/>
  <c r="E381" i="13"/>
  <c r="F381" i="13" s="1"/>
  <c r="D382" i="13" s="1"/>
  <c r="E639" i="13"/>
  <c r="F639" i="13" s="1"/>
  <c r="D640" i="13" s="1"/>
  <c r="E983" i="13"/>
  <c r="F983" i="13" s="1"/>
  <c r="D984" i="13" s="1"/>
  <c r="E1324" i="13"/>
  <c r="F1324" i="13" s="1"/>
  <c r="D1325" i="13" s="1"/>
  <c r="G982" i="13"/>
  <c r="E1155" i="13"/>
  <c r="F1155" i="13" s="1"/>
  <c r="D1156" i="13" s="1"/>
  <c r="E467" i="13"/>
  <c r="F467" i="13" s="1"/>
  <c r="D468" i="13" s="1"/>
  <c r="G551" i="13"/>
  <c r="E811" i="13"/>
  <c r="F811" i="13" s="1"/>
  <c r="D812" i="13" s="1"/>
  <c r="G1154" i="13"/>
  <c r="E725" i="13"/>
  <c r="F725" i="13" s="1"/>
  <c r="D726" i="13" s="1"/>
  <c r="H23" i="48"/>
  <c r="G23" i="48"/>
  <c r="G639" i="13" l="1"/>
  <c r="G1069" i="13"/>
  <c r="G381" i="13"/>
  <c r="G983" i="13"/>
  <c r="G725" i="13"/>
  <c r="G811" i="13"/>
  <c r="G897" i="13"/>
  <c r="G552" i="13"/>
  <c r="G1155" i="13"/>
  <c r="G467" i="13"/>
  <c r="G1242" i="13"/>
  <c r="G209" i="13"/>
  <c r="G123" i="13"/>
  <c r="G288" i="13"/>
  <c r="E1325" i="13"/>
  <c r="F1325" i="13" s="1"/>
  <c r="D1326" i="13" s="1"/>
  <c r="E1156" i="13"/>
  <c r="F1156" i="13" s="1"/>
  <c r="D1157" i="13" s="1"/>
  <c r="G1324" i="13"/>
  <c r="E210" i="13"/>
  <c r="F210" i="13" s="1"/>
  <c r="D211" i="13" s="1"/>
  <c r="E898" i="13"/>
  <c r="F898" i="13" s="1"/>
  <c r="D899" i="13" s="1"/>
  <c r="E984" i="13"/>
  <c r="F984" i="13" s="1"/>
  <c r="D985" i="13" s="1"/>
  <c r="E726" i="13"/>
  <c r="F726" i="13" s="1"/>
  <c r="D727" i="13" s="1"/>
  <c r="E1243" i="13"/>
  <c r="F1243" i="13" s="1"/>
  <c r="D1244" i="13" s="1"/>
  <c r="E640" i="13"/>
  <c r="F640" i="13" s="1"/>
  <c r="D641" i="13" s="1"/>
  <c r="E289" i="13"/>
  <c r="F289" i="13" s="1"/>
  <c r="D290" i="13" s="1"/>
  <c r="E812" i="13"/>
  <c r="F812" i="13" s="1"/>
  <c r="D813" i="13" s="1"/>
  <c r="E382" i="13"/>
  <c r="F382" i="13" s="1"/>
  <c r="D383" i="13" s="1"/>
  <c r="E124" i="13"/>
  <c r="F124" i="13" s="1"/>
  <c r="D125" i="13" s="1"/>
  <c r="E468" i="13"/>
  <c r="F468" i="13" s="1"/>
  <c r="D469" i="13" s="1"/>
  <c r="E1070" i="13"/>
  <c r="F1070" i="13" s="1"/>
  <c r="D1071" i="13" s="1"/>
  <c r="E553" i="13"/>
  <c r="F553" i="13" s="1"/>
  <c r="D554" i="13" s="1"/>
  <c r="I23" i="48"/>
  <c r="G1325" i="13" l="1"/>
  <c r="G210" i="13"/>
  <c r="G726" i="13"/>
  <c r="G898" i="13"/>
  <c r="G1156" i="13"/>
  <c r="G382" i="13"/>
  <c r="G468" i="13"/>
  <c r="G812" i="13"/>
  <c r="G289" i="13"/>
  <c r="E1071" i="13"/>
  <c r="F1071" i="13" s="1"/>
  <c r="D1072" i="13" s="1"/>
  <c r="E727" i="13"/>
  <c r="F727" i="13" s="1"/>
  <c r="D728" i="13" s="1"/>
  <c r="G124" i="13"/>
  <c r="E899" i="13"/>
  <c r="F899" i="13" s="1"/>
  <c r="D900" i="13" s="1"/>
  <c r="E813" i="13"/>
  <c r="F813" i="13" s="1"/>
  <c r="D814" i="13" s="1"/>
  <c r="E211" i="13"/>
  <c r="F211" i="13" s="1"/>
  <c r="D212" i="13" s="1"/>
  <c r="E469" i="13"/>
  <c r="F469" i="13" s="1"/>
  <c r="D470" i="13" s="1"/>
  <c r="E985" i="13"/>
  <c r="F985" i="13" s="1"/>
  <c r="D986" i="13" s="1"/>
  <c r="E290" i="13"/>
  <c r="F290" i="13" s="1"/>
  <c r="D291" i="13" s="1"/>
  <c r="E125" i="13"/>
  <c r="F125" i="13" s="1"/>
  <c r="D126" i="13" s="1"/>
  <c r="E383" i="13"/>
  <c r="F383" i="13" s="1"/>
  <c r="D384" i="13" s="1"/>
  <c r="G553" i="13"/>
  <c r="G640" i="13"/>
  <c r="E1157" i="13"/>
  <c r="F1157" i="13" s="1"/>
  <c r="D1158" i="13" s="1"/>
  <c r="E1244" i="13"/>
  <c r="F1244" i="13" s="1"/>
  <c r="D1245" i="13" s="1"/>
  <c r="G984" i="13"/>
  <c r="E554" i="13"/>
  <c r="F554" i="13" s="1"/>
  <c r="D555" i="13" s="1"/>
  <c r="E641" i="13"/>
  <c r="F641" i="13" s="1"/>
  <c r="D642" i="13" s="1"/>
  <c r="G1070" i="13"/>
  <c r="G1243" i="13"/>
  <c r="E1326" i="13"/>
  <c r="F1326" i="13" s="1"/>
  <c r="D1327" i="13" s="1"/>
  <c r="D23" i="35"/>
  <c r="G67" i="2" s="1"/>
  <c r="L67" i="2" s="1"/>
  <c r="C23" i="35"/>
  <c r="G66" i="2" s="1"/>
  <c r="G1326" i="13" l="1"/>
  <c r="G125" i="13"/>
  <c r="G899" i="13"/>
  <c r="G383" i="13"/>
  <c r="G641" i="13"/>
  <c r="G554" i="13"/>
  <c r="G211" i="13"/>
  <c r="G813" i="13"/>
  <c r="G727" i="13"/>
  <c r="G469" i="13"/>
  <c r="G1244" i="13"/>
  <c r="E470" i="13"/>
  <c r="F470" i="13" s="1"/>
  <c r="D471" i="13" s="1"/>
  <c r="E212" i="13"/>
  <c r="F212" i="13" s="1"/>
  <c r="D213" i="13" s="1"/>
  <c r="E814" i="13"/>
  <c r="F814" i="13" s="1"/>
  <c r="D815" i="13" s="1"/>
  <c r="E1327" i="13"/>
  <c r="F1327" i="13" s="1"/>
  <c r="D1328" i="13" s="1"/>
  <c r="E384" i="13"/>
  <c r="F384" i="13" s="1"/>
  <c r="D385" i="13" s="1"/>
  <c r="E900" i="13"/>
  <c r="F900" i="13" s="1"/>
  <c r="D901" i="13" s="1"/>
  <c r="E986" i="13"/>
  <c r="F986" i="13" s="1"/>
  <c r="D987" i="13" s="1"/>
  <c r="G1157" i="13"/>
  <c r="E126" i="13"/>
  <c r="F126" i="13" s="1"/>
  <c r="D127" i="13" s="1"/>
  <c r="E642" i="13"/>
  <c r="F642" i="13" s="1"/>
  <c r="D643" i="13" s="1"/>
  <c r="G290" i="13"/>
  <c r="E728" i="13"/>
  <c r="F728" i="13" s="1"/>
  <c r="D729" i="13" s="1"/>
  <c r="E291" i="13"/>
  <c r="F291" i="13" s="1"/>
  <c r="D292" i="13" s="1"/>
  <c r="G1071" i="13"/>
  <c r="E1245" i="13"/>
  <c r="F1245" i="13" s="1"/>
  <c r="D1246" i="13" s="1"/>
  <c r="E1158" i="13"/>
  <c r="F1158" i="13" s="1"/>
  <c r="D1159" i="13" s="1"/>
  <c r="E555" i="13"/>
  <c r="F555" i="13" s="1"/>
  <c r="D556" i="13" s="1"/>
  <c r="G985" i="13"/>
  <c r="E1072" i="13"/>
  <c r="F1072" i="13" s="1"/>
  <c r="D1073" i="13" s="1"/>
  <c r="G77" i="2"/>
  <c r="L66" i="2"/>
  <c r="L77" i="2" s="1"/>
  <c r="G94" i="2"/>
  <c r="G100" i="2" s="1"/>
  <c r="G126" i="13" l="1"/>
  <c r="G470" i="13"/>
  <c r="G814" i="13"/>
  <c r="G728" i="13"/>
  <c r="G1327" i="13"/>
  <c r="G1072" i="13"/>
  <c r="G1245" i="13"/>
  <c r="G384" i="13"/>
  <c r="G291" i="13"/>
  <c r="G1158" i="13"/>
  <c r="G900" i="13"/>
  <c r="E901" i="13"/>
  <c r="F901" i="13" s="1"/>
  <c r="D902" i="13" s="1"/>
  <c r="E385" i="13"/>
  <c r="F385" i="13" s="1"/>
  <c r="D386" i="13" s="1"/>
  <c r="E1246" i="13"/>
  <c r="F1246" i="13" s="1"/>
  <c r="D1247" i="13" s="1"/>
  <c r="E292" i="13"/>
  <c r="F292" i="13" s="1"/>
  <c r="D293" i="13" s="1"/>
  <c r="E729" i="13"/>
  <c r="F729" i="13" s="1"/>
  <c r="D730" i="13" s="1"/>
  <c r="E1073" i="13"/>
  <c r="F1073" i="13" s="1"/>
  <c r="D1074" i="13" s="1"/>
  <c r="G642" i="13"/>
  <c r="E815" i="13"/>
  <c r="F815" i="13" s="1"/>
  <c r="D816" i="13" s="1"/>
  <c r="G212" i="13"/>
  <c r="E987" i="13"/>
  <c r="F987" i="13" s="1"/>
  <c r="D988" i="13" s="1"/>
  <c r="E556" i="13"/>
  <c r="F556" i="13" s="1"/>
  <c r="D557" i="13" s="1"/>
  <c r="E1328" i="13"/>
  <c r="F1328" i="13" s="1"/>
  <c r="D1329" i="13" s="1"/>
  <c r="E213" i="13"/>
  <c r="F213" i="13" s="1"/>
  <c r="D214" i="13" s="1"/>
  <c r="E471" i="13"/>
  <c r="F471" i="13" s="1"/>
  <c r="D472" i="13" s="1"/>
  <c r="E643" i="13"/>
  <c r="F643" i="13" s="1"/>
  <c r="D644" i="13" s="1"/>
  <c r="G555" i="13"/>
  <c r="E127" i="13"/>
  <c r="F127" i="13" s="1"/>
  <c r="D128" i="13" s="1"/>
  <c r="E1159" i="13"/>
  <c r="F1159" i="13" s="1"/>
  <c r="D1160" i="13" s="1"/>
  <c r="G986" i="13"/>
  <c r="E48" i="11"/>
  <c r="L94" i="2"/>
  <c r="L100" i="2" s="1"/>
  <c r="J77" i="2"/>
  <c r="I64" i="30" l="1"/>
  <c r="G292" i="13"/>
  <c r="G1328" i="13"/>
  <c r="G471" i="13"/>
  <c r="G901" i="13"/>
  <c r="G1159" i="13"/>
  <c r="G729" i="13"/>
  <c r="G213" i="13"/>
  <c r="E816" i="13"/>
  <c r="F816" i="13" s="1"/>
  <c r="D817" i="13" s="1"/>
  <c r="E1329" i="13"/>
  <c r="F1329" i="13" s="1"/>
  <c r="D1330" i="13" s="1"/>
  <c r="E293" i="13"/>
  <c r="F293" i="13" s="1"/>
  <c r="D294" i="13" s="1"/>
  <c r="G556" i="13"/>
  <c r="G1246" i="13"/>
  <c r="E1247" i="13"/>
  <c r="F1247" i="13" s="1"/>
  <c r="D1248" i="13" s="1"/>
  <c r="E557" i="13"/>
  <c r="F557" i="13" s="1"/>
  <c r="D558" i="13" s="1"/>
  <c r="E1160" i="13"/>
  <c r="F1160" i="13" s="1"/>
  <c r="D1161" i="13" s="1"/>
  <c r="G987" i="13"/>
  <c r="G385" i="13"/>
  <c r="G643" i="13"/>
  <c r="E472" i="13"/>
  <c r="F472" i="13" s="1"/>
  <c r="D473" i="13" s="1"/>
  <c r="E214" i="13"/>
  <c r="F214" i="13" s="1"/>
  <c r="D215" i="13" s="1"/>
  <c r="G127" i="13"/>
  <c r="E988" i="13"/>
  <c r="F988" i="13" s="1"/>
  <c r="D989" i="13" s="1"/>
  <c r="E386" i="13"/>
  <c r="F386" i="13" s="1"/>
  <c r="D387" i="13" s="1"/>
  <c r="E1074" i="13"/>
  <c r="F1074" i="13" s="1"/>
  <c r="D1075" i="13" s="1"/>
  <c r="E644" i="13"/>
  <c r="F644" i="13" s="1"/>
  <c r="D645" i="13" s="1"/>
  <c r="G1073" i="13"/>
  <c r="E730" i="13"/>
  <c r="F730" i="13" s="1"/>
  <c r="D731" i="13" s="1"/>
  <c r="E128" i="13"/>
  <c r="F128" i="13" s="1"/>
  <c r="D129" i="13" s="1"/>
  <c r="G815" i="13"/>
  <c r="E902" i="13"/>
  <c r="F902" i="13" s="1"/>
  <c r="D903" i="13" s="1"/>
  <c r="J100" i="2"/>
  <c r="I65" i="30"/>
  <c r="J193" i="2"/>
  <c r="L193" i="2" s="1"/>
  <c r="J207" i="2"/>
  <c r="L207" i="2" s="1"/>
  <c r="J122" i="2"/>
  <c r="L122" i="2" s="1"/>
  <c r="J124" i="2"/>
  <c r="L124" i="2" s="1"/>
  <c r="J167" i="2"/>
  <c r="L167" i="2" s="1"/>
  <c r="E62" i="11"/>
  <c r="E51" i="11"/>
  <c r="M48" i="11"/>
  <c r="I61" i="30" l="1"/>
  <c r="E41" i="9"/>
  <c r="E42" i="9" s="1"/>
  <c r="F42" i="9"/>
  <c r="G168" i="2" s="1"/>
  <c r="G82" i="11"/>
  <c r="G988" i="13"/>
  <c r="G1329" i="13"/>
  <c r="G386" i="13"/>
  <c r="G1247" i="13"/>
  <c r="G128" i="13"/>
  <c r="G557" i="13"/>
  <c r="G644" i="13"/>
  <c r="G902" i="13"/>
  <c r="G214" i="13"/>
  <c r="G1074" i="13"/>
  <c r="G1160" i="13"/>
  <c r="E387" i="13"/>
  <c r="F387" i="13" s="1"/>
  <c r="D388" i="13" s="1"/>
  <c r="E903" i="13"/>
  <c r="F903" i="13" s="1"/>
  <c r="D904" i="13" s="1"/>
  <c r="E1248" i="13"/>
  <c r="F1248" i="13" s="1"/>
  <c r="D1249" i="13" s="1"/>
  <c r="E558" i="13"/>
  <c r="F558" i="13" s="1"/>
  <c r="D559" i="13" s="1"/>
  <c r="E989" i="13"/>
  <c r="F989" i="13" s="1"/>
  <c r="D990" i="13" s="1"/>
  <c r="E129" i="13"/>
  <c r="F129" i="13" s="1"/>
  <c r="D130" i="13" s="1"/>
  <c r="E215" i="13"/>
  <c r="F215" i="13" s="1"/>
  <c r="D216" i="13" s="1"/>
  <c r="G293" i="13"/>
  <c r="G730" i="13"/>
  <c r="G472" i="13"/>
  <c r="E294" i="13"/>
  <c r="F294" i="13" s="1"/>
  <c r="D295" i="13" s="1"/>
  <c r="E1161" i="13"/>
  <c r="F1161" i="13" s="1"/>
  <c r="D1162" i="13" s="1"/>
  <c r="E473" i="13"/>
  <c r="F473" i="13" s="1"/>
  <c r="D474" i="13" s="1"/>
  <c r="E1075" i="13"/>
  <c r="F1075" i="13" s="1"/>
  <c r="D1076" i="13" s="1"/>
  <c r="E1330" i="13"/>
  <c r="F1330" i="13" s="1"/>
  <c r="D1331" i="13" s="1"/>
  <c r="G816" i="13"/>
  <c r="E731" i="13"/>
  <c r="F731" i="13" s="1"/>
  <c r="D732" i="13" s="1"/>
  <c r="E645" i="13"/>
  <c r="F645" i="13" s="1"/>
  <c r="D646" i="13" s="1"/>
  <c r="E817" i="13"/>
  <c r="F817" i="13" s="1"/>
  <c r="D818" i="13" s="1"/>
  <c r="E53" i="11"/>
  <c r="M51" i="11"/>
  <c r="E64" i="11"/>
  <c r="M62" i="11"/>
  <c r="L127" i="2"/>
  <c r="E37" i="13"/>
  <c r="F37" i="20"/>
  <c r="E72" i="11"/>
  <c r="E82" i="11" s="1"/>
  <c r="L168" i="2" l="1"/>
  <c r="L172" i="2" s="1"/>
  <c r="L174" i="2" s="1"/>
  <c r="L176" i="2" s="1"/>
  <c r="G172" i="2"/>
  <c r="G174" i="2" s="1"/>
  <c r="G176" i="2" s="1"/>
  <c r="G294" i="13"/>
  <c r="G473" i="13"/>
  <c r="G1161" i="13"/>
  <c r="G817" i="13"/>
  <c r="G1075" i="13"/>
  <c r="G558" i="13"/>
  <c r="G129" i="13"/>
  <c r="E1331" i="13"/>
  <c r="F1331" i="13" s="1"/>
  <c r="D1332" i="13" s="1"/>
  <c r="G1330" i="13"/>
  <c r="E1076" i="13"/>
  <c r="F1076" i="13" s="1"/>
  <c r="D1077" i="13" s="1"/>
  <c r="G989" i="13"/>
  <c r="E130" i="13"/>
  <c r="F130" i="13" s="1"/>
  <c r="D131" i="13" s="1"/>
  <c r="E474" i="13"/>
  <c r="F474" i="13" s="1"/>
  <c r="D475" i="13" s="1"/>
  <c r="E1249" i="13"/>
  <c r="F1249" i="13" s="1"/>
  <c r="D1250" i="13" s="1"/>
  <c r="E990" i="13"/>
  <c r="F990" i="13" s="1"/>
  <c r="D991" i="13" s="1"/>
  <c r="E559" i="13"/>
  <c r="F559" i="13" s="1"/>
  <c r="D560" i="13" s="1"/>
  <c r="E1162" i="13"/>
  <c r="F1162" i="13" s="1"/>
  <c r="D1163" i="13" s="1"/>
  <c r="G1248" i="13"/>
  <c r="E818" i="13"/>
  <c r="F818" i="13" s="1"/>
  <c r="D819" i="13" s="1"/>
  <c r="G645" i="13"/>
  <c r="E295" i="13"/>
  <c r="F295" i="13" s="1"/>
  <c r="D296" i="13" s="1"/>
  <c r="G903" i="13"/>
  <c r="E646" i="13"/>
  <c r="F646" i="13" s="1"/>
  <c r="D647" i="13" s="1"/>
  <c r="E904" i="13"/>
  <c r="F904" i="13" s="1"/>
  <c r="D905" i="13" s="1"/>
  <c r="G731" i="13"/>
  <c r="G387" i="13"/>
  <c r="E732" i="13"/>
  <c r="F732" i="13" s="1"/>
  <c r="D733" i="13" s="1"/>
  <c r="E388" i="13"/>
  <c r="F388" i="13" s="1"/>
  <c r="D389" i="13" s="1"/>
  <c r="G215" i="13"/>
  <c r="E216" i="13"/>
  <c r="F216" i="13" s="1"/>
  <c r="D217" i="13" s="1"/>
  <c r="E66" i="11"/>
  <c r="M64" i="11"/>
  <c r="E74" i="11"/>
  <c r="M72" i="11"/>
  <c r="E55" i="11"/>
  <c r="M53" i="11"/>
  <c r="G295" i="13" l="1"/>
  <c r="G559" i="13"/>
  <c r="G1331" i="13"/>
  <c r="G474" i="13"/>
  <c r="G216" i="13"/>
  <c r="G1076" i="13"/>
  <c r="G732" i="13"/>
  <c r="G990" i="13"/>
  <c r="G130" i="13"/>
  <c r="G818" i="13"/>
  <c r="G1249" i="13"/>
  <c r="G1162" i="13"/>
  <c r="G388" i="13"/>
  <c r="G646" i="13"/>
  <c r="E647" i="13"/>
  <c r="F647" i="13" s="1"/>
  <c r="D648" i="13" s="1"/>
  <c r="E905" i="13"/>
  <c r="F905" i="13" s="1"/>
  <c r="D906" i="13" s="1"/>
  <c r="E991" i="13"/>
  <c r="F991" i="13" s="1"/>
  <c r="D992" i="13" s="1"/>
  <c r="E1250" i="13"/>
  <c r="F1250" i="13" s="1"/>
  <c r="D1251" i="13" s="1"/>
  <c r="E475" i="13"/>
  <c r="F475" i="13" s="1"/>
  <c r="D476" i="13" s="1"/>
  <c r="E131" i="13"/>
  <c r="F131" i="13" s="1"/>
  <c r="D132" i="13" s="1"/>
  <c r="E389" i="13"/>
  <c r="F389" i="13" s="1"/>
  <c r="D390" i="13" s="1"/>
  <c r="E819" i="13"/>
  <c r="F819" i="13" s="1"/>
  <c r="D820" i="13" s="1"/>
  <c r="E217" i="13"/>
  <c r="F217" i="13" s="1"/>
  <c r="D218" i="13" s="1"/>
  <c r="E733" i="13"/>
  <c r="F733" i="13" s="1"/>
  <c r="D734" i="13" s="1"/>
  <c r="E1077" i="13"/>
  <c r="F1077" i="13" s="1"/>
  <c r="D1078" i="13" s="1"/>
  <c r="E296" i="13"/>
  <c r="F296" i="13" s="1"/>
  <c r="D297" i="13" s="1"/>
  <c r="E1163" i="13"/>
  <c r="F1163" i="13" s="1"/>
  <c r="D1164" i="13" s="1"/>
  <c r="G904" i="13"/>
  <c r="E560" i="13"/>
  <c r="F560" i="13" s="1"/>
  <c r="D561" i="13" s="1"/>
  <c r="E1332" i="13"/>
  <c r="F1332" i="13" s="1"/>
  <c r="D1333" i="13" s="1"/>
  <c r="I56" i="11"/>
  <c r="I57" i="11" s="1"/>
  <c r="I58" i="11" s="1"/>
  <c r="E56" i="11"/>
  <c r="E57" i="11" s="1"/>
  <c r="G56" i="11"/>
  <c r="G57" i="11" s="1"/>
  <c r="G58" i="11" s="1"/>
  <c r="E76" i="11"/>
  <c r="M74" i="11"/>
  <c r="I67" i="11"/>
  <c r="I68" i="11" s="1"/>
  <c r="I69" i="11" s="1"/>
  <c r="E67" i="11"/>
  <c r="E68" i="11" s="1"/>
  <c r="E69" i="11" s="1"/>
  <c r="G67" i="11"/>
  <c r="G68" i="11" s="1"/>
  <c r="G69" i="11" s="1"/>
  <c r="G1077" i="13" l="1"/>
  <c r="G296" i="13"/>
  <c r="G1250" i="13"/>
  <c r="G905" i="13"/>
  <c r="G131" i="13"/>
  <c r="G1163" i="13"/>
  <c r="G217" i="13"/>
  <c r="G475" i="13"/>
  <c r="G389" i="13"/>
  <c r="E132" i="13"/>
  <c r="F132" i="13" s="1"/>
  <c r="D133" i="13" s="1"/>
  <c r="E390" i="13"/>
  <c r="F390" i="13" s="1"/>
  <c r="D391" i="13" s="1"/>
  <c r="E1164" i="13"/>
  <c r="F1164" i="13" s="1"/>
  <c r="D1165" i="13" s="1"/>
  <c r="E476" i="13"/>
  <c r="F476" i="13" s="1"/>
  <c r="D477" i="13" s="1"/>
  <c r="E1251" i="13"/>
  <c r="F1251" i="13" s="1"/>
  <c r="D1252" i="13" s="1"/>
  <c r="E1078" i="13"/>
  <c r="F1078" i="13" s="1"/>
  <c r="D1079" i="13" s="1"/>
  <c r="G733" i="13"/>
  <c r="G991" i="13"/>
  <c r="E734" i="13"/>
  <c r="F734" i="13" s="1"/>
  <c r="D735" i="13" s="1"/>
  <c r="E992" i="13"/>
  <c r="F992" i="13" s="1"/>
  <c r="D993" i="13" s="1"/>
  <c r="E297" i="13"/>
  <c r="F297" i="13" s="1"/>
  <c r="D298" i="13" s="1"/>
  <c r="E561" i="13"/>
  <c r="F561" i="13" s="1"/>
  <c r="D562" i="13" s="1"/>
  <c r="G1332" i="13"/>
  <c r="E218" i="13"/>
  <c r="F218" i="13" s="1"/>
  <c r="D219" i="13" s="1"/>
  <c r="E906" i="13"/>
  <c r="F906" i="13" s="1"/>
  <c r="D907" i="13" s="1"/>
  <c r="E1333" i="13"/>
  <c r="F1333" i="13" s="1"/>
  <c r="D1334" i="13" s="1"/>
  <c r="G819" i="13"/>
  <c r="G647" i="13"/>
  <c r="G560" i="13"/>
  <c r="E820" i="13"/>
  <c r="F820" i="13" s="1"/>
  <c r="D821" i="13" s="1"/>
  <c r="E648" i="13"/>
  <c r="F648" i="13" s="1"/>
  <c r="D649" i="13" s="1"/>
  <c r="M69" i="11"/>
  <c r="E70" i="11" s="1"/>
  <c r="M57" i="11"/>
  <c r="M68" i="11"/>
  <c r="I77" i="11"/>
  <c r="I78" i="11" s="1"/>
  <c r="I79" i="11" s="1"/>
  <c r="G77" i="11"/>
  <c r="G78" i="11" s="1"/>
  <c r="G79" i="11" s="1"/>
  <c r="E77" i="11"/>
  <c r="E78" i="11" s="1"/>
  <c r="E79" i="11" s="1"/>
  <c r="E58" i="11"/>
  <c r="G561" i="13" l="1"/>
  <c r="G648" i="13"/>
  <c r="G132" i="13"/>
  <c r="G992" i="13"/>
  <c r="G390" i="13"/>
  <c r="G218" i="13"/>
  <c r="G476" i="13"/>
  <c r="G734" i="13"/>
  <c r="G906" i="13"/>
  <c r="G1078" i="13"/>
  <c r="E907" i="13"/>
  <c r="F907" i="13" s="1"/>
  <c r="D908" i="13" s="1"/>
  <c r="E1079" i="13"/>
  <c r="F1079" i="13" s="1"/>
  <c r="D1080" i="13" s="1"/>
  <c r="G1251" i="13"/>
  <c r="E477" i="13"/>
  <c r="F477" i="13" s="1"/>
  <c r="D478" i="13" s="1"/>
  <c r="E649" i="13"/>
  <c r="F649" i="13" s="1"/>
  <c r="D650" i="13" s="1"/>
  <c r="E562" i="13"/>
  <c r="F562" i="13" s="1"/>
  <c r="D563" i="13" s="1"/>
  <c r="G820" i="13"/>
  <c r="G297" i="13"/>
  <c r="G1164" i="13"/>
  <c r="E1165" i="13"/>
  <c r="F1165" i="13" s="1"/>
  <c r="D1166" i="13" s="1"/>
  <c r="E219" i="13"/>
  <c r="F219" i="13" s="1"/>
  <c r="D220" i="13" s="1"/>
  <c r="E821" i="13"/>
  <c r="F821" i="13" s="1"/>
  <c r="D822" i="13" s="1"/>
  <c r="E298" i="13"/>
  <c r="F298" i="13" s="1"/>
  <c r="D299" i="13" s="1"/>
  <c r="E993" i="13"/>
  <c r="F993" i="13" s="1"/>
  <c r="D994" i="13" s="1"/>
  <c r="E391" i="13"/>
  <c r="F391" i="13" s="1"/>
  <c r="D392" i="13" s="1"/>
  <c r="E1252" i="13"/>
  <c r="F1252" i="13" s="1"/>
  <c r="D1253" i="13" s="1"/>
  <c r="E1334" i="13"/>
  <c r="F1334" i="13" s="1"/>
  <c r="D1335" i="13" s="1"/>
  <c r="G1333" i="13"/>
  <c r="E735" i="13"/>
  <c r="F735" i="13" s="1"/>
  <c r="D736" i="13" s="1"/>
  <c r="E133" i="13"/>
  <c r="F133" i="13" s="1"/>
  <c r="D134" i="13" s="1"/>
  <c r="G70" i="11"/>
  <c r="I70" i="11"/>
  <c r="M79" i="11"/>
  <c r="E80" i="11" s="1"/>
  <c r="M58" i="11"/>
  <c r="E59" i="11" s="1"/>
  <c r="I31" i="30" l="1"/>
  <c r="H32" i="30"/>
  <c r="I32" i="30" s="1"/>
  <c r="I33" i="30"/>
  <c r="I34" i="30"/>
  <c r="G219" i="13"/>
  <c r="G391" i="13"/>
  <c r="G133" i="13"/>
  <c r="G477" i="13"/>
  <c r="G1165" i="13"/>
  <c r="G562" i="13"/>
  <c r="G993" i="13"/>
  <c r="G907" i="13"/>
  <c r="G649" i="13"/>
  <c r="G298" i="13"/>
  <c r="G1334" i="13"/>
  <c r="G1252" i="13"/>
  <c r="E563" i="13"/>
  <c r="F563" i="13" s="1"/>
  <c r="D564" i="13" s="1"/>
  <c r="E1253" i="13"/>
  <c r="F1253" i="13" s="1"/>
  <c r="D1254" i="13" s="1"/>
  <c r="E650" i="13"/>
  <c r="F650" i="13" s="1"/>
  <c r="D651" i="13" s="1"/>
  <c r="E299" i="13"/>
  <c r="F299" i="13" s="1"/>
  <c r="D300" i="13" s="1"/>
  <c r="E134" i="13"/>
  <c r="F134" i="13" s="1"/>
  <c r="D135" i="13" s="1"/>
  <c r="G821" i="13"/>
  <c r="E478" i="13"/>
  <c r="F478" i="13" s="1"/>
  <c r="D479" i="13" s="1"/>
  <c r="E822" i="13"/>
  <c r="F822" i="13" s="1"/>
  <c r="D823" i="13" s="1"/>
  <c r="E736" i="13"/>
  <c r="F736" i="13" s="1"/>
  <c r="D737" i="13" s="1"/>
  <c r="G1079" i="13"/>
  <c r="E392" i="13"/>
  <c r="F392" i="13" s="1"/>
  <c r="D393" i="13" s="1"/>
  <c r="E1080" i="13"/>
  <c r="F1080" i="13" s="1"/>
  <c r="D1081" i="13" s="1"/>
  <c r="E994" i="13"/>
  <c r="F994" i="13" s="1"/>
  <c r="D995" i="13" s="1"/>
  <c r="G735" i="13"/>
  <c r="E220" i="13"/>
  <c r="F220" i="13" s="1"/>
  <c r="D221" i="13" s="1"/>
  <c r="E1335" i="13"/>
  <c r="F1335" i="13" s="1"/>
  <c r="D1336" i="13" s="1"/>
  <c r="E1166" i="13"/>
  <c r="F1166" i="13" s="1"/>
  <c r="D1167" i="13" s="1"/>
  <c r="E908" i="13"/>
  <c r="F908" i="13" s="1"/>
  <c r="D909" i="13" s="1"/>
  <c r="I30" i="30"/>
  <c r="G80" i="11"/>
  <c r="I80" i="11"/>
  <c r="I59" i="11"/>
  <c r="G59" i="11"/>
  <c r="H43" i="30" s="1"/>
  <c r="I43" i="30" s="1"/>
  <c r="H57" i="30" l="1"/>
  <c r="I57" i="30" s="1"/>
  <c r="I56" i="30"/>
  <c r="I42" i="30"/>
  <c r="I27" i="30"/>
  <c r="G220" i="13"/>
  <c r="G1166" i="13"/>
  <c r="G563" i="13"/>
  <c r="G1080" i="13"/>
  <c r="G994" i="13"/>
  <c r="G134" i="13"/>
  <c r="G299" i="13"/>
  <c r="G908" i="13"/>
  <c r="G736" i="13"/>
  <c r="G478" i="13"/>
  <c r="E1081" i="13"/>
  <c r="F1081" i="13" s="1"/>
  <c r="D1082" i="13" s="1"/>
  <c r="E300" i="13"/>
  <c r="F300" i="13" s="1"/>
  <c r="D301" i="13" s="1"/>
  <c r="G392" i="13"/>
  <c r="G650" i="13"/>
  <c r="E479" i="13"/>
  <c r="F479" i="13" s="1"/>
  <c r="D480" i="13" s="1"/>
  <c r="E651" i="13"/>
  <c r="F651" i="13" s="1"/>
  <c r="D652" i="13" s="1"/>
  <c r="E823" i="13"/>
  <c r="F823" i="13" s="1"/>
  <c r="D824" i="13" s="1"/>
  <c r="G1253" i="13"/>
  <c r="E995" i="13"/>
  <c r="F995" i="13" s="1"/>
  <c r="D996" i="13" s="1"/>
  <c r="E1254" i="13"/>
  <c r="F1254" i="13" s="1"/>
  <c r="D1255" i="13" s="1"/>
  <c r="E909" i="13"/>
  <c r="F909" i="13" s="1"/>
  <c r="D910" i="13" s="1"/>
  <c r="E1167" i="13"/>
  <c r="F1167" i="13" s="1"/>
  <c r="D1168" i="13" s="1"/>
  <c r="E737" i="13"/>
  <c r="F737" i="13" s="1"/>
  <c r="D738" i="13" s="1"/>
  <c r="E1336" i="13"/>
  <c r="F1336" i="13" s="1"/>
  <c r="D1337" i="13" s="1"/>
  <c r="E221" i="13"/>
  <c r="F221" i="13" s="1"/>
  <c r="D222" i="13" s="1"/>
  <c r="E135" i="13"/>
  <c r="F135" i="13" s="1"/>
  <c r="D136" i="13" s="1"/>
  <c r="E393" i="13"/>
  <c r="F393" i="13" s="1"/>
  <c r="D394" i="13" s="1"/>
  <c r="G1335" i="13"/>
  <c r="G822" i="13"/>
  <c r="E564" i="13"/>
  <c r="F564" i="13" s="1"/>
  <c r="D565" i="13" s="1"/>
  <c r="I48" i="30"/>
  <c r="I41" i="30"/>
  <c r="I55" i="30" l="1"/>
  <c r="G909" i="13"/>
  <c r="G564" i="13"/>
  <c r="G135" i="13"/>
  <c r="G393" i="13"/>
  <c r="G737" i="13"/>
  <c r="G1081" i="13"/>
  <c r="G221" i="13"/>
  <c r="G300" i="13"/>
  <c r="G1254" i="13"/>
  <c r="G995" i="13"/>
  <c r="G479" i="13"/>
  <c r="G651" i="13"/>
  <c r="G823" i="13"/>
  <c r="G1167" i="13"/>
  <c r="G1336" i="13"/>
  <c r="E222" i="13"/>
  <c r="F222" i="13" s="1"/>
  <c r="D223" i="13" s="1"/>
  <c r="E824" i="13"/>
  <c r="F824" i="13" s="1"/>
  <c r="D825" i="13" s="1"/>
  <c r="E1337" i="13"/>
  <c r="F1337" i="13" s="1"/>
  <c r="D1338" i="13" s="1"/>
  <c r="E652" i="13"/>
  <c r="F652" i="13" s="1"/>
  <c r="D653" i="13" s="1"/>
  <c r="E738" i="13"/>
  <c r="F738" i="13" s="1"/>
  <c r="D739" i="13" s="1"/>
  <c r="E480" i="13"/>
  <c r="F480" i="13" s="1"/>
  <c r="D481" i="13" s="1"/>
  <c r="E565" i="13"/>
  <c r="F565" i="13" s="1"/>
  <c r="D566" i="13" s="1"/>
  <c r="E1168" i="13"/>
  <c r="F1168" i="13" s="1"/>
  <c r="D1169" i="13" s="1"/>
  <c r="E910" i="13"/>
  <c r="F910" i="13" s="1"/>
  <c r="D911" i="13" s="1"/>
  <c r="E301" i="13"/>
  <c r="F301" i="13" s="1"/>
  <c r="D302" i="13" s="1"/>
  <c r="E394" i="13"/>
  <c r="F394" i="13" s="1"/>
  <c r="D395" i="13" s="1"/>
  <c r="E1255" i="13"/>
  <c r="F1255" i="13" s="1"/>
  <c r="D1256" i="13" s="1"/>
  <c r="E1082" i="13"/>
  <c r="F1082" i="13" s="1"/>
  <c r="D1083" i="13" s="1"/>
  <c r="E136" i="13"/>
  <c r="F136" i="13" s="1"/>
  <c r="D137" i="13" s="1"/>
  <c r="E996" i="13"/>
  <c r="F996" i="13" s="1"/>
  <c r="D997" i="13" s="1"/>
  <c r="I36" i="30"/>
  <c r="I25" i="30" l="1"/>
  <c r="L191" i="2" s="1"/>
  <c r="L194" i="2" s="1"/>
  <c r="G565" i="13"/>
  <c r="G1255" i="13"/>
  <c r="G910" i="13"/>
  <c r="G996" i="13"/>
  <c r="G738" i="13"/>
  <c r="G652" i="13"/>
  <c r="G136" i="13"/>
  <c r="G222" i="13"/>
  <c r="G1168" i="13"/>
  <c r="E566" i="13"/>
  <c r="F566" i="13" s="1"/>
  <c r="D567" i="13" s="1"/>
  <c r="G480" i="13"/>
  <c r="E1256" i="13"/>
  <c r="F1256" i="13" s="1"/>
  <c r="D1257" i="13" s="1"/>
  <c r="G394" i="13"/>
  <c r="E653" i="13"/>
  <c r="F653" i="13" s="1"/>
  <c r="D654" i="13" s="1"/>
  <c r="G301" i="13"/>
  <c r="G1337" i="13"/>
  <c r="E1338" i="13"/>
  <c r="F1338" i="13" s="1"/>
  <c r="D1339" i="13" s="1"/>
  <c r="E137" i="13"/>
  <c r="F137" i="13" s="1"/>
  <c r="D138" i="13" s="1"/>
  <c r="G1082" i="13"/>
  <c r="E395" i="13"/>
  <c r="F395" i="13" s="1"/>
  <c r="D396" i="13" s="1"/>
  <c r="G824" i="13"/>
  <c r="E481" i="13"/>
  <c r="F481" i="13" s="1"/>
  <c r="D482" i="13" s="1"/>
  <c r="E825" i="13"/>
  <c r="F825" i="13" s="1"/>
  <c r="D826" i="13" s="1"/>
  <c r="E1083" i="13"/>
  <c r="F1083" i="13" s="1"/>
  <c r="D1084" i="13" s="1"/>
  <c r="E739" i="13"/>
  <c r="F739" i="13" s="1"/>
  <c r="D740" i="13" s="1"/>
  <c r="E302" i="13"/>
  <c r="F302" i="13" s="1"/>
  <c r="D303" i="13" s="1"/>
  <c r="E911" i="13"/>
  <c r="F911" i="13" s="1"/>
  <c r="D912" i="13" s="1"/>
  <c r="E997" i="13"/>
  <c r="F997" i="13" s="1"/>
  <c r="D998" i="13" s="1"/>
  <c r="E1169" i="13"/>
  <c r="F1169" i="13" s="1"/>
  <c r="D1170" i="13" s="1"/>
  <c r="E223" i="13"/>
  <c r="F223" i="13" s="1"/>
  <c r="D224" i="13" s="1"/>
  <c r="S61" i="38"/>
  <c r="D51" i="38"/>
  <c r="G1256" i="13" l="1"/>
  <c r="G1083" i="13"/>
  <c r="G566" i="13"/>
  <c r="G223" i="13"/>
  <c r="G911" i="13"/>
  <c r="G739" i="13"/>
  <c r="G825" i="13"/>
  <c r="G653" i="13"/>
  <c r="G302" i="13"/>
  <c r="E1084" i="13"/>
  <c r="F1084" i="13" s="1"/>
  <c r="D1085" i="13" s="1"/>
  <c r="E826" i="13"/>
  <c r="F826" i="13" s="1"/>
  <c r="D827" i="13" s="1"/>
  <c r="E654" i="13"/>
  <c r="F654" i="13" s="1"/>
  <c r="D655" i="13" s="1"/>
  <c r="G1169" i="13"/>
  <c r="G481" i="13"/>
  <c r="E138" i="13"/>
  <c r="F138" i="13" s="1"/>
  <c r="D139" i="13" s="1"/>
  <c r="G137" i="13"/>
  <c r="G1338" i="13"/>
  <c r="E1170" i="13"/>
  <c r="F1170" i="13" s="1"/>
  <c r="D1171" i="13" s="1"/>
  <c r="G997" i="13"/>
  <c r="E1257" i="13"/>
  <c r="F1257" i="13" s="1"/>
  <c r="D1258" i="13" s="1"/>
  <c r="E224" i="13"/>
  <c r="F224" i="13" s="1"/>
  <c r="D225" i="13" s="1"/>
  <c r="E998" i="13"/>
  <c r="F998" i="13" s="1"/>
  <c r="D999" i="13" s="1"/>
  <c r="G395" i="13"/>
  <c r="E1339" i="13"/>
  <c r="F1339" i="13" s="1"/>
  <c r="D1340" i="13" s="1"/>
  <c r="E303" i="13"/>
  <c r="F303" i="13" s="1"/>
  <c r="D304" i="13" s="1"/>
  <c r="E740" i="13"/>
  <c r="F740" i="13" s="1"/>
  <c r="D741" i="13" s="1"/>
  <c r="E482" i="13"/>
  <c r="F482" i="13" s="1"/>
  <c r="D483" i="13" s="1"/>
  <c r="E396" i="13"/>
  <c r="F396" i="13" s="1"/>
  <c r="D397" i="13" s="1"/>
  <c r="E912" i="13"/>
  <c r="F912" i="13" s="1"/>
  <c r="D913" i="13" s="1"/>
  <c r="E567" i="13"/>
  <c r="F567" i="13" s="1"/>
  <c r="D568" i="13" s="1"/>
  <c r="K51" i="38"/>
  <c r="K61" i="38" s="1"/>
  <c r="I51" i="38"/>
  <c r="I61" i="38" s="1"/>
  <c r="Q61" i="38"/>
  <c r="E25" i="5" s="1"/>
  <c r="F52" i="38"/>
  <c r="G51" i="38"/>
  <c r="G1084" i="13" l="1"/>
  <c r="G1339" i="13"/>
  <c r="G567" i="13"/>
  <c r="G396" i="13"/>
  <c r="G1257" i="13"/>
  <c r="G826" i="13"/>
  <c r="G998" i="13"/>
  <c r="G740" i="13"/>
  <c r="G138" i="13"/>
  <c r="G482" i="13"/>
  <c r="G1170" i="13"/>
  <c r="E1340" i="13"/>
  <c r="F1340" i="13" s="1"/>
  <c r="D1341" i="13" s="1"/>
  <c r="E1171" i="13"/>
  <c r="F1171" i="13" s="1"/>
  <c r="D1172" i="13" s="1"/>
  <c r="G303" i="13"/>
  <c r="E139" i="13"/>
  <c r="F139" i="13" s="1"/>
  <c r="D140" i="13" s="1"/>
  <c r="E568" i="13"/>
  <c r="F568" i="13" s="1"/>
  <c r="D569" i="13" s="1"/>
  <c r="G912" i="13"/>
  <c r="E999" i="13"/>
  <c r="F999" i="13" s="1"/>
  <c r="D1000" i="13" s="1"/>
  <c r="G654" i="13"/>
  <c r="E741" i="13"/>
  <c r="F741" i="13" s="1"/>
  <c r="D742" i="13" s="1"/>
  <c r="E304" i="13"/>
  <c r="F304" i="13" s="1"/>
  <c r="D305" i="13" s="1"/>
  <c r="E913" i="13"/>
  <c r="F913" i="13" s="1"/>
  <c r="D914" i="13" s="1"/>
  <c r="G224" i="13"/>
  <c r="E655" i="13"/>
  <c r="F655" i="13" s="1"/>
  <c r="D656" i="13" s="1"/>
  <c r="E225" i="13"/>
  <c r="F225" i="13" s="1"/>
  <c r="D226" i="13" s="1"/>
  <c r="E397" i="13"/>
  <c r="F397" i="13" s="1"/>
  <c r="D398" i="13" s="1"/>
  <c r="E827" i="13"/>
  <c r="F827" i="13" s="1"/>
  <c r="D828" i="13" s="1"/>
  <c r="E1258" i="13"/>
  <c r="F1258" i="13" s="1"/>
  <c r="D1259" i="13" s="1"/>
  <c r="E483" i="13"/>
  <c r="F483" i="13" s="1"/>
  <c r="E1085" i="13"/>
  <c r="F1085" i="13" s="1"/>
  <c r="D1086" i="13" s="1"/>
  <c r="E27" i="5"/>
  <c r="I27" i="5" s="1"/>
  <c r="I25" i="5"/>
  <c r="D52" i="38"/>
  <c r="F61" i="38"/>
  <c r="G304" i="13" l="1"/>
  <c r="G655" i="13"/>
  <c r="G139" i="13"/>
  <c r="G1085" i="13"/>
  <c r="G568" i="13"/>
  <c r="G225" i="13"/>
  <c r="G913" i="13"/>
  <c r="G999" i="13"/>
  <c r="G397" i="13"/>
  <c r="G1258" i="13"/>
  <c r="G1340" i="13"/>
  <c r="G827" i="13"/>
  <c r="D484" i="13"/>
  <c r="G483" i="13"/>
  <c r="E828" i="13"/>
  <c r="F828" i="13" s="1"/>
  <c r="D829" i="13" s="1"/>
  <c r="E569" i="13"/>
  <c r="F569" i="13" s="1"/>
  <c r="D570" i="13" s="1"/>
  <c r="E656" i="13"/>
  <c r="F656" i="13" s="1"/>
  <c r="D657" i="13" s="1"/>
  <c r="E1086" i="13"/>
  <c r="F1086" i="13" s="1"/>
  <c r="D1087" i="13" s="1"/>
  <c r="E140" i="13"/>
  <c r="F140" i="13" s="1"/>
  <c r="D141" i="13" s="1"/>
  <c r="E1000" i="13"/>
  <c r="F1000" i="13" s="1"/>
  <c r="D1001" i="13" s="1"/>
  <c r="E914" i="13"/>
  <c r="F914" i="13" s="1"/>
  <c r="D915" i="13" s="1"/>
  <c r="G1171" i="13"/>
  <c r="E742" i="13"/>
  <c r="F742" i="13" s="1"/>
  <c r="D743" i="13" s="1"/>
  <c r="E398" i="13"/>
  <c r="F398" i="13" s="1"/>
  <c r="D399" i="13" s="1"/>
  <c r="E226" i="13"/>
  <c r="F226" i="13" s="1"/>
  <c r="D227" i="13" s="1"/>
  <c r="E1172" i="13"/>
  <c r="F1172" i="13" s="1"/>
  <c r="D1173" i="13" s="1"/>
  <c r="E305" i="13"/>
  <c r="F305" i="13" s="1"/>
  <c r="D306" i="13" s="1"/>
  <c r="E1259" i="13"/>
  <c r="F1259" i="13" s="1"/>
  <c r="D1260" i="13" s="1"/>
  <c r="G741" i="13"/>
  <c r="E1341" i="13"/>
  <c r="F1341" i="13" s="1"/>
  <c r="D1342" i="13" s="1"/>
  <c r="D61" i="38"/>
  <c r="G61" i="38"/>
  <c r="E28" i="5"/>
  <c r="G105" i="2"/>
  <c r="I28" i="5"/>
  <c r="L105" i="2" s="1"/>
  <c r="G742" i="13" l="1"/>
  <c r="G1172" i="13"/>
  <c r="G398" i="13"/>
  <c r="G1341" i="13"/>
  <c r="G1000" i="13"/>
  <c r="G914" i="13"/>
  <c r="G656" i="13"/>
  <c r="G226" i="13"/>
  <c r="G1086" i="13"/>
  <c r="G828" i="13"/>
  <c r="G305" i="13"/>
  <c r="G140" i="13"/>
  <c r="E1173" i="13"/>
  <c r="F1173" i="13" s="1"/>
  <c r="D1174" i="13" s="1"/>
  <c r="E399" i="13"/>
  <c r="F399" i="13" s="1"/>
  <c r="D400" i="13" s="1"/>
  <c r="G569" i="13"/>
  <c r="E570" i="13"/>
  <c r="F570" i="13" s="1"/>
  <c r="D571" i="13" s="1"/>
  <c r="E1260" i="13"/>
  <c r="F1260" i="13" s="1"/>
  <c r="D1261" i="13" s="1"/>
  <c r="E141" i="13"/>
  <c r="F141" i="13" s="1"/>
  <c r="D142" i="13" s="1"/>
  <c r="E1001" i="13"/>
  <c r="F1001" i="13" s="1"/>
  <c r="D1002" i="13" s="1"/>
  <c r="E1087" i="13"/>
  <c r="F1087" i="13" s="1"/>
  <c r="D1088" i="13" s="1"/>
  <c r="E227" i="13"/>
  <c r="F227" i="13" s="1"/>
  <c r="D228" i="13" s="1"/>
  <c r="E657" i="13"/>
  <c r="F657" i="13" s="1"/>
  <c r="D658" i="13" s="1"/>
  <c r="E743" i="13"/>
  <c r="F743" i="13" s="1"/>
  <c r="D744" i="13" s="1"/>
  <c r="E829" i="13"/>
  <c r="F829" i="13" s="1"/>
  <c r="D830" i="13" s="1"/>
  <c r="E306" i="13"/>
  <c r="F306" i="13" s="1"/>
  <c r="D307" i="13" s="1"/>
  <c r="E1342" i="13"/>
  <c r="F1342" i="13" s="1"/>
  <c r="D1343" i="13" s="1"/>
  <c r="G1259" i="13"/>
  <c r="E915" i="13"/>
  <c r="F915" i="13" s="1"/>
  <c r="D916" i="13" s="1"/>
  <c r="E484" i="13"/>
  <c r="F484" i="13" s="1"/>
  <c r="D485" i="13" s="1"/>
  <c r="J78" i="39"/>
  <c r="J95" i="39" s="1"/>
  <c r="R95" i="39"/>
  <c r="G227" i="13" l="1"/>
  <c r="G570" i="13"/>
  <c r="G657" i="13"/>
  <c r="G915" i="13"/>
  <c r="G1260" i="13"/>
  <c r="G743" i="13"/>
  <c r="G829" i="13"/>
  <c r="G1087" i="13"/>
  <c r="G141" i="13"/>
  <c r="G484" i="13"/>
  <c r="E658" i="13"/>
  <c r="F658" i="13" s="1"/>
  <c r="D659" i="13" s="1"/>
  <c r="G399" i="13"/>
  <c r="E400" i="13"/>
  <c r="F400" i="13" s="1"/>
  <c r="D401" i="13" s="1"/>
  <c r="E142" i="13"/>
  <c r="F142" i="13" s="1"/>
  <c r="D143" i="13" s="1"/>
  <c r="E1261" i="13"/>
  <c r="F1261" i="13" s="1"/>
  <c r="D1262" i="13" s="1"/>
  <c r="E744" i="13"/>
  <c r="F744" i="13" s="1"/>
  <c r="D745" i="13" s="1"/>
  <c r="E228" i="13"/>
  <c r="F228" i="13" s="1"/>
  <c r="D229" i="13" s="1"/>
  <c r="G1173" i="13"/>
  <c r="E1343" i="13"/>
  <c r="F1343" i="13" s="1"/>
  <c r="D1344" i="13" s="1"/>
  <c r="E307" i="13"/>
  <c r="F307" i="13" s="1"/>
  <c r="D308" i="13" s="1"/>
  <c r="E830" i="13"/>
  <c r="F830" i="13" s="1"/>
  <c r="D831" i="13" s="1"/>
  <c r="E571" i="13"/>
  <c r="F571" i="13" s="1"/>
  <c r="D572" i="13" s="1"/>
  <c r="E916" i="13"/>
  <c r="F916" i="13" s="1"/>
  <c r="D917" i="13" s="1"/>
  <c r="E1174" i="13"/>
  <c r="F1174" i="13" s="1"/>
  <c r="D1175" i="13" s="1"/>
  <c r="E1088" i="13"/>
  <c r="F1088" i="13" s="1"/>
  <c r="D1089" i="13" s="1"/>
  <c r="E1002" i="13"/>
  <c r="F1002" i="13" s="1"/>
  <c r="D1003" i="13" s="1"/>
  <c r="G306" i="13"/>
  <c r="E485" i="13"/>
  <c r="F485" i="13" s="1"/>
  <c r="D486" i="13" s="1"/>
  <c r="G1342" i="13"/>
  <c r="G1001" i="13"/>
  <c r="D78" i="39"/>
  <c r="F79" i="39" s="1"/>
  <c r="K78" i="39"/>
  <c r="K95" i="39" s="1"/>
  <c r="S95" i="39"/>
  <c r="G744" i="13" l="1"/>
  <c r="G1261" i="13"/>
  <c r="G916" i="13"/>
  <c r="G571" i="13"/>
  <c r="G830" i="13"/>
  <c r="G400" i="13"/>
  <c r="G485" i="13"/>
  <c r="G1088" i="13"/>
  <c r="E229" i="13"/>
  <c r="F229" i="13" s="1"/>
  <c r="D230" i="13" s="1"/>
  <c r="E917" i="13"/>
  <c r="F917" i="13" s="1"/>
  <c r="D918" i="13" s="1"/>
  <c r="G142" i="13"/>
  <c r="E486" i="13"/>
  <c r="F486" i="13" s="1"/>
  <c r="D487" i="13" s="1"/>
  <c r="G307" i="13"/>
  <c r="E401" i="13"/>
  <c r="F401" i="13" s="1"/>
  <c r="D402" i="13" s="1"/>
  <c r="E831" i="13"/>
  <c r="F831" i="13" s="1"/>
  <c r="D832" i="13" s="1"/>
  <c r="G1002" i="13"/>
  <c r="G1343" i="13"/>
  <c r="G658" i="13"/>
  <c r="E1262" i="13"/>
  <c r="F1262" i="13" s="1"/>
  <c r="D1263" i="13" s="1"/>
  <c r="E1003" i="13"/>
  <c r="F1003" i="13" s="1"/>
  <c r="D1004" i="13" s="1"/>
  <c r="E1344" i="13"/>
  <c r="F1344" i="13" s="1"/>
  <c r="D1345" i="13" s="1"/>
  <c r="E659" i="13"/>
  <c r="F659" i="13" s="1"/>
  <c r="D660" i="13" s="1"/>
  <c r="G1174" i="13"/>
  <c r="E143" i="13"/>
  <c r="F143" i="13" s="1"/>
  <c r="D144" i="13" s="1"/>
  <c r="E1175" i="13"/>
  <c r="F1175" i="13" s="1"/>
  <c r="D1176" i="13" s="1"/>
  <c r="E745" i="13"/>
  <c r="F745" i="13" s="1"/>
  <c r="D746" i="13" s="1"/>
  <c r="E572" i="13"/>
  <c r="F572" i="13" s="1"/>
  <c r="D573" i="13" s="1"/>
  <c r="E308" i="13"/>
  <c r="F308" i="13" s="1"/>
  <c r="D309" i="13" s="1"/>
  <c r="E1089" i="13"/>
  <c r="F1089" i="13" s="1"/>
  <c r="D1090" i="13" s="1"/>
  <c r="G228" i="13"/>
  <c r="G78" i="39"/>
  <c r="G95" i="39" s="1"/>
  <c r="I78" i="39"/>
  <c r="I95" i="39" s="1"/>
  <c r="Q95" i="39"/>
  <c r="D79" i="39"/>
  <c r="D95" i="39" s="1"/>
  <c r="F95" i="39"/>
  <c r="G659" i="13" l="1"/>
  <c r="G1089" i="13"/>
  <c r="G401" i="13"/>
  <c r="G1262" i="13"/>
  <c r="G229" i="13"/>
  <c r="G1344" i="13"/>
  <c r="G143" i="13"/>
  <c r="G917" i="13"/>
  <c r="G572" i="13"/>
  <c r="G486" i="13"/>
  <c r="G745" i="13"/>
  <c r="E402" i="13"/>
  <c r="F402" i="13" s="1"/>
  <c r="D403" i="13" s="1"/>
  <c r="E660" i="13"/>
  <c r="F660" i="13" s="1"/>
  <c r="D661" i="13" s="1"/>
  <c r="E1090" i="13"/>
  <c r="F1090" i="13" s="1"/>
  <c r="D1091" i="13" s="1"/>
  <c r="G308" i="13"/>
  <c r="E1345" i="13"/>
  <c r="F1345" i="13" s="1"/>
  <c r="D1346" i="13" s="1"/>
  <c r="E487" i="13"/>
  <c r="F487" i="13" s="1"/>
  <c r="D488" i="13" s="1"/>
  <c r="E832" i="13"/>
  <c r="F832" i="13" s="1"/>
  <c r="D833" i="13" s="1"/>
  <c r="E1176" i="13"/>
  <c r="F1176" i="13" s="1"/>
  <c r="D1177" i="13" s="1"/>
  <c r="E144" i="13"/>
  <c r="F144" i="13" s="1"/>
  <c r="D145" i="13" s="1"/>
  <c r="G1003" i="13"/>
  <c r="E918" i="13"/>
  <c r="F918" i="13" s="1"/>
  <c r="D919" i="13" s="1"/>
  <c r="E1004" i="13"/>
  <c r="F1004" i="13" s="1"/>
  <c r="D1005" i="13" s="1"/>
  <c r="E1263" i="13"/>
  <c r="F1263" i="13" s="1"/>
  <c r="D1264" i="13" s="1"/>
  <c r="G1175" i="13"/>
  <c r="G831" i="13"/>
  <c r="E309" i="13"/>
  <c r="F309" i="13" s="1"/>
  <c r="D310" i="13" s="1"/>
  <c r="E573" i="13"/>
  <c r="F573" i="13" s="1"/>
  <c r="D574" i="13" s="1"/>
  <c r="E746" i="13"/>
  <c r="F746" i="13" s="1"/>
  <c r="D747" i="13" s="1"/>
  <c r="E230" i="13"/>
  <c r="F230" i="13" s="1"/>
  <c r="D231" i="13" s="1"/>
  <c r="E41" i="5"/>
  <c r="E43" i="5"/>
  <c r="I43" i="5" s="1"/>
  <c r="G1263" i="13" l="1"/>
  <c r="G660" i="13"/>
  <c r="G402" i="13"/>
  <c r="G1345" i="13"/>
  <c r="G1004" i="13"/>
  <c r="G746" i="13"/>
  <c r="G487" i="13"/>
  <c r="G573" i="13"/>
  <c r="G309" i="13"/>
  <c r="E1177" i="13"/>
  <c r="F1177" i="13" s="1"/>
  <c r="D1178" i="13" s="1"/>
  <c r="G832" i="13"/>
  <c r="E1346" i="13"/>
  <c r="F1346" i="13" s="1"/>
  <c r="D1347" i="13" s="1"/>
  <c r="E1005" i="13"/>
  <c r="F1005" i="13" s="1"/>
  <c r="D1006" i="13" s="1"/>
  <c r="G230" i="13"/>
  <c r="G918" i="13"/>
  <c r="G1090" i="13"/>
  <c r="E1091" i="13"/>
  <c r="F1091" i="13" s="1"/>
  <c r="D1092" i="13" s="1"/>
  <c r="E833" i="13"/>
  <c r="F833" i="13" s="1"/>
  <c r="D834" i="13" s="1"/>
  <c r="E919" i="13"/>
  <c r="F919" i="13" s="1"/>
  <c r="D920" i="13" s="1"/>
  <c r="E747" i="13"/>
  <c r="F747" i="13" s="1"/>
  <c r="D748" i="13" s="1"/>
  <c r="G144" i="13"/>
  <c r="E661" i="13"/>
  <c r="F661" i="13" s="1"/>
  <c r="D662" i="13" s="1"/>
  <c r="E488" i="13"/>
  <c r="F488" i="13" s="1"/>
  <c r="D489" i="13" s="1"/>
  <c r="E1264" i="13"/>
  <c r="F1264" i="13" s="1"/>
  <c r="D1265" i="13" s="1"/>
  <c r="E231" i="13"/>
  <c r="F231" i="13" s="1"/>
  <c r="D232" i="13" s="1"/>
  <c r="E145" i="13"/>
  <c r="F145" i="13" s="1"/>
  <c r="D146" i="13" s="1"/>
  <c r="E310" i="13"/>
  <c r="F310" i="13" s="1"/>
  <c r="D311" i="13" s="1"/>
  <c r="E574" i="13"/>
  <c r="F574" i="13" s="1"/>
  <c r="D575" i="13" s="1"/>
  <c r="G1176" i="13"/>
  <c r="E403" i="13"/>
  <c r="F403" i="13" s="1"/>
  <c r="D404" i="13" s="1"/>
  <c r="E44" i="5"/>
  <c r="I41" i="5"/>
  <c r="G747" i="13" l="1"/>
  <c r="G1177" i="13"/>
  <c r="G661" i="13"/>
  <c r="G1005" i="13"/>
  <c r="G919" i="13"/>
  <c r="G145" i="13"/>
  <c r="G1264" i="13"/>
  <c r="E834" i="13"/>
  <c r="F834" i="13" s="1"/>
  <c r="D835" i="13" s="1"/>
  <c r="E489" i="13"/>
  <c r="F489" i="13" s="1"/>
  <c r="D490" i="13" s="1"/>
  <c r="E662" i="13"/>
  <c r="F662" i="13" s="1"/>
  <c r="D663" i="13" s="1"/>
  <c r="E1006" i="13"/>
  <c r="F1006" i="13" s="1"/>
  <c r="D1007" i="13" s="1"/>
  <c r="G574" i="13"/>
  <c r="G1346" i="13"/>
  <c r="G403" i="13"/>
  <c r="E1347" i="13"/>
  <c r="F1347" i="13" s="1"/>
  <c r="D1348" i="13" s="1"/>
  <c r="E1092" i="13"/>
  <c r="F1092" i="13" s="1"/>
  <c r="D1093" i="13" s="1"/>
  <c r="E404" i="13"/>
  <c r="F404" i="13" s="1"/>
  <c r="D405" i="13" s="1"/>
  <c r="E748" i="13"/>
  <c r="F748" i="13" s="1"/>
  <c r="D749" i="13" s="1"/>
  <c r="E232" i="13"/>
  <c r="F232" i="13" s="1"/>
  <c r="D233" i="13" s="1"/>
  <c r="E1265" i="13"/>
  <c r="F1265" i="13" s="1"/>
  <c r="D1266" i="13" s="1"/>
  <c r="G488" i="13"/>
  <c r="G310" i="13"/>
  <c r="E1178" i="13"/>
  <c r="F1178" i="13" s="1"/>
  <c r="D1179" i="13" s="1"/>
  <c r="G231" i="13"/>
  <c r="G1091" i="13"/>
  <c r="E575" i="13"/>
  <c r="F575" i="13" s="1"/>
  <c r="D576" i="13" s="1"/>
  <c r="E311" i="13"/>
  <c r="F311" i="13" s="1"/>
  <c r="D312" i="13" s="1"/>
  <c r="E920" i="13"/>
  <c r="F920" i="13" s="1"/>
  <c r="D921" i="13" s="1"/>
  <c r="E146" i="13"/>
  <c r="F146" i="13" s="1"/>
  <c r="D147" i="13" s="1"/>
  <c r="G833" i="13"/>
  <c r="I44" i="5"/>
  <c r="L107" i="2" s="1"/>
  <c r="L109" i="2" s="1"/>
  <c r="L131" i="2" s="1"/>
  <c r="G107" i="2"/>
  <c r="G109" i="2" s="1"/>
  <c r="G131" i="2" s="1"/>
  <c r="G834" i="13" l="1"/>
  <c r="G920" i="13"/>
  <c r="G1006" i="13"/>
  <c r="G1178" i="13"/>
  <c r="G232" i="13"/>
  <c r="G748" i="13"/>
  <c r="G146" i="13"/>
  <c r="G1265" i="13"/>
  <c r="G489" i="13"/>
  <c r="E147" i="13"/>
  <c r="F147" i="13" s="1"/>
  <c r="D148" i="13" s="1"/>
  <c r="E1266" i="13"/>
  <c r="F1266" i="13" s="1"/>
  <c r="D1267" i="13" s="1"/>
  <c r="E1007" i="13"/>
  <c r="F1007" i="13" s="1"/>
  <c r="D1008" i="13" s="1"/>
  <c r="E921" i="13"/>
  <c r="F921" i="13" s="1"/>
  <c r="D922" i="13" s="1"/>
  <c r="E233" i="13"/>
  <c r="F233" i="13" s="1"/>
  <c r="D234" i="13" s="1"/>
  <c r="G662" i="13"/>
  <c r="E663" i="13"/>
  <c r="F663" i="13" s="1"/>
  <c r="D664" i="13" s="1"/>
  <c r="E1179" i="13"/>
  <c r="F1179" i="13" s="1"/>
  <c r="D1180" i="13" s="1"/>
  <c r="E312" i="13"/>
  <c r="F312" i="13" s="1"/>
  <c r="D313" i="13" s="1"/>
  <c r="G404" i="13"/>
  <c r="E490" i="13"/>
  <c r="F490" i="13" s="1"/>
  <c r="D491" i="13" s="1"/>
  <c r="E1348" i="13"/>
  <c r="F1348" i="13" s="1"/>
  <c r="D1349" i="13" s="1"/>
  <c r="G311" i="13"/>
  <c r="E576" i="13"/>
  <c r="F576" i="13" s="1"/>
  <c r="D577" i="13" s="1"/>
  <c r="E1093" i="13"/>
  <c r="F1093" i="13" s="1"/>
  <c r="D1094" i="13" s="1"/>
  <c r="G1347" i="13"/>
  <c r="E749" i="13"/>
  <c r="F749" i="13" s="1"/>
  <c r="D750" i="13" s="1"/>
  <c r="G575" i="13"/>
  <c r="E405" i="13"/>
  <c r="F405" i="13" s="1"/>
  <c r="D406" i="13" s="1"/>
  <c r="G1092" i="13"/>
  <c r="E835" i="13"/>
  <c r="F835" i="13" s="1"/>
  <c r="D836" i="13" s="1"/>
  <c r="E28" i="13"/>
  <c r="F28" i="20"/>
  <c r="G1266" i="13" l="1"/>
  <c r="G147" i="13"/>
  <c r="G921" i="13"/>
  <c r="G749" i="13"/>
  <c r="G835" i="13"/>
  <c r="G663" i="13"/>
  <c r="G576" i="13"/>
  <c r="G1348" i="13"/>
  <c r="G312" i="13"/>
  <c r="E234" i="13"/>
  <c r="F234" i="13" s="1"/>
  <c r="D235" i="13" s="1"/>
  <c r="E664" i="13"/>
  <c r="F664" i="13" s="1"/>
  <c r="D665" i="13" s="1"/>
  <c r="G233" i="13"/>
  <c r="E1349" i="13"/>
  <c r="F1349" i="13" s="1"/>
  <c r="D1350" i="13" s="1"/>
  <c r="E922" i="13"/>
  <c r="F922" i="13" s="1"/>
  <c r="D923" i="13" s="1"/>
  <c r="G490" i="13"/>
  <c r="G1007" i="13"/>
  <c r="E1094" i="13"/>
  <c r="F1094" i="13" s="1"/>
  <c r="D1095" i="13" s="1"/>
  <c r="E1008" i="13"/>
  <c r="F1008" i="13" s="1"/>
  <c r="D1009" i="13" s="1"/>
  <c r="G405" i="13"/>
  <c r="E1267" i="13"/>
  <c r="F1267" i="13" s="1"/>
  <c r="D1268" i="13" s="1"/>
  <c r="G1093" i="13"/>
  <c r="E577" i="13"/>
  <c r="F577" i="13" s="1"/>
  <c r="D578" i="13" s="1"/>
  <c r="E491" i="13"/>
  <c r="F491" i="13" s="1"/>
  <c r="D492" i="13" s="1"/>
  <c r="E313" i="13"/>
  <c r="F313" i="13" s="1"/>
  <c r="D314" i="13" s="1"/>
  <c r="E1180" i="13"/>
  <c r="F1180" i="13" s="1"/>
  <c r="D1181" i="13" s="1"/>
  <c r="E836" i="13"/>
  <c r="F836" i="13" s="1"/>
  <c r="D837" i="13" s="1"/>
  <c r="E406" i="13"/>
  <c r="F406" i="13" s="1"/>
  <c r="D407" i="13" s="1"/>
  <c r="E750" i="13"/>
  <c r="F750" i="13" s="1"/>
  <c r="D751" i="13" s="1"/>
  <c r="G1179" i="13"/>
  <c r="E148" i="13"/>
  <c r="F148" i="13" s="1"/>
  <c r="D149" i="13" s="1"/>
  <c r="F74" i="41" l="1"/>
  <c r="G1267" i="13"/>
  <c r="G750" i="13"/>
  <c r="G1349" i="13"/>
  <c r="G406" i="13"/>
  <c r="G234" i="13"/>
  <c r="G491" i="13"/>
  <c r="G664" i="13"/>
  <c r="G922" i="13"/>
  <c r="G313" i="13"/>
  <c r="G577" i="13"/>
  <c r="G1094" i="13"/>
  <c r="E492" i="13"/>
  <c r="F492" i="13" s="1"/>
  <c r="D493" i="13" s="1"/>
  <c r="E578" i="13"/>
  <c r="F578" i="13" s="1"/>
  <c r="D579" i="13" s="1"/>
  <c r="E1350" i="13"/>
  <c r="F1350" i="13" s="1"/>
  <c r="D1351" i="13" s="1"/>
  <c r="E1009" i="13"/>
  <c r="F1009" i="13" s="1"/>
  <c r="D1010" i="13" s="1"/>
  <c r="E1095" i="13"/>
  <c r="F1095" i="13" s="1"/>
  <c r="D1096" i="13" s="1"/>
  <c r="G1180" i="13"/>
  <c r="E314" i="13"/>
  <c r="F314" i="13" s="1"/>
  <c r="D315" i="13" s="1"/>
  <c r="E923" i="13"/>
  <c r="F923" i="13" s="1"/>
  <c r="D924" i="13" s="1"/>
  <c r="E1268" i="13"/>
  <c r="F1268" i="13" s="1"/>
  <c r="D1269" i="13" s="1"/>
  <c r="E665" i="13"/>
  <c r="F665" i="13" s="1"/>
  <c r="D666" i="13" s="1"/>
  <c r="E149" i="13"/>
  <c r="F149" i="13" s="1"/>
  <c r="D150" i="13" s="1"/>
  <c r="E837" i="13"/>
  <c r="F837" i="13" s="1"/>
  <c r="D838" i="13" s="1"/>
  <c r="E1181" i="13"/>
  <c r="F1181" i="13" s="1"/>
  <c r="D1182" i="13" s="1"/>
  <c r="G148" i="13"/>
  <c r="E751" i="13"/>
  <c r="F751" i="13" s="1"/>
  <c r="D752" i="13" s="1"/>
  <c r="E407" i="13"/>
  <c r="F407" i="13" s="1"/>
  <c r="D408" i="13" s="1"/>
  <c r="G836" i="13"/>
  <c r="G1008" i="13"/>
  <c r="E235" i="13"/>
  <c r="F235" i="13" s="1"/>
  <c r="D236" i="13" s="1"/>
  <c r="G314" i="13" l="1"/>
  <c r="G837" i="13"/>
  <c r="G235" i="13"/>
  <c r="G578" i="13"/>
  <c r="G149" i="13"/>
  <c r="G1181" i="13"/>
  <c r="G1350" i="13"/>
  <c r="G1095" i="13"/>
  <c r="G1268" i="13"/>
  <c r="G923" i="13"/>
  <c r="E752" i="13"/>
  <c r="F752" i="13" s="1"/>
  <c r="D753" i="13" s="1"/>
  <c r="E315" i="13"/>
  <c r="F315" i="13" s="1"/>
  <c r="D316" i="13" s="1"/>
  <c r="E1182" i="13"/>
  <c r="F1182" i="13" s="1"/>
  <c r="D1183" i="13" s="1"/>
  <c r="E1096" i="13"/>
  <c r="F1096" i="13" s="1"/>
  <c r="D1097" i="13" s="1"/>
  <c r="E236" i="13"/>
  <c r="F236" i="13" s="1"/>
  <c r="D237" i="13" s="1"/>
  <c r="G665" i="13"/>
  <c r="E1351" i="13"/>
  <c r="F1351" i="13" s="1"/>
  <c r="D1352" i="13" s="1"/>
  <c r="E838" i="13"/>
  <c r="F838" i="13" s="1"/>
  <c r="D839" i="13" s="1"/>
  <c r="G1009" i="13"/>
  <c r="E579" i="13"/>
  <c r="F579" i="13" s="1"/>
  <c r="D580" i="13" s="1"/>
  <c r="E150" i="13"/>
  <c r="F150" i="13" s="1"/>
  <c r="D151" i="13" s="1"/>
  <c r="E666" i="13"/>
  <c r="F666" i="13" s="1"/>
  <c r="D667" i="13" s="1"/>
  <c r="G407" i="13"/>
  <c r="E1269" i="13"/>
  <c r="F1269" i="13" s="1"/>
  <c r="D1270" i="13" s="1"/>
  <c r="G492" i="13"/>
  <c r="E493" i="13"/>
  <c r="F493" i="13" s="1"/>
  <c r="D494" i="13" s="1"/>
  <c r="E1010" i="13"/>
  <c r="F1010" i="13" s="1"/>
  <c r="D1011" i="13" s="1"/>
  <c r="E408" i="13"/>
  <c r="F408" i="13" s="1"/>
  <c r="D409" i="13" s="1"/>
  <c r="G751" i="13"/>
  <c r="E924" i="13"/>
  <c r="F924" i="13" s="1"/>
  <c r="D925" i="13" s="1"/>
  <c r="C74" i="41"/>
  <c r="E50" i="41" s="1"/>
  <c r="E76" i="41"/>
  <c r="E80" i="41" s="1"/>
  <c r="E51" i="41" s="1"/>
  <c r="G924" i="13" l="1"/>
  <c r="G150" i="13"/>
  <c r="G666" i="13"/>
  <c r="G315" i="13"/>
  <c r="G236" i="13"/>
  <c r="G408" i="13"/>
  <c r="G493" i="13"/>
  <c r="G1096" i="13"/>
  <c r="G1182" i="13"/>
  <c r="G752" i="13"/>
  <c r="G1010" i="13"/>
  <c r="G579" i="13"/>
  <c r="G1351" i="13"/>
  <c r="E1270" i="13"/>
  <c r="F1270" i="13" s="1"/>
  <c r="D1271" i="13" s="1"/>
  <c r="E839" i="13"/>
  <c r="F839" i="13" s="1"/>
  <c r="D840" i="13" s="1"/>
  <c r="E494" i="13"/>
  <c r="F494" i="13" s="1"/>
  <c r="D495" i="13" s="1"/>
  <c r="E1352" i="13"/>
  <c r="F1352" i="13" s="1"/>
  <c r="G1269" i="13"/>
  <c r="E237" i="13"/>
  <c r="F237" i="13" s="1"/>
  <c r="D238" i="13" s="1"/>
  <c r="E667" i="13"/>
  <c r="F667" i="13" s="1"/>
  <c r="D668" i="13" s="1"/>
  <c r="E1097" i="13"/>
  <c r="F1097" i="13" s="1"/>
  <c r="D1098" i="13" s="1"/>
  <c r="E925" i="13"/>
  <c r="F925" i="13" s="1"/>
  <c r="D926" i="13" s="1"/>
  <c r="E151" i="13"/>
  <c r="F151" i="13" s="1"/>
  <c r="D152" i="13" s="1"/>
  <c r="E1183" i="13"/>
  <c r="F1183" i="13" s="1"/>
  <c r="D1184" i="13" s="1"/>
  <c r="E409" i="13"/>
  <c r="F409" i="13" s="1"/>
  <c r="D410" i="13" s="1"/>
  <c r="E580" i="13"/>
  <c r="F580" i="13" s="1"/>
  <c r="D581" i="13" s="1"/>
  <c r="E316" i="13"/>
  <c r="F316" i="13" s="1"/>
  <c r="D317" i="13" s="1"/>
  <c r="E1011" i="13"/>
  <c r="F1011" i="13" s="1"/>
  <c r="D1012" i="13" s="1"/>
  <c r="G838" i="13"/>
  <c r="E753" i="13"/>
  <c r="F753" i="13" s="1"/>
  <c r="D754" i="13" s="1"/>
  <c r="E56" i="41"/>
  <c r="L261" i="2" s="1"/>
  <c r="G925" i="13" l="1"/>
  <c r="G1183" i="13"/>
  <c r="D1353" i="13"/>
  <c r="E1353" i="13" s="1"/>
  <c r="F1353" i="13" s="1"/>
  <c r="D1354" i="13" s="1"/>
  <c r="G1352" i="13"/>
  <c r="G667" i="13"/>
  <c r="G237" i="13"/>
  <c r="G839" i="13"/>
  <c r="G753" i="13"/>
  <c r="G1270" i="13"/>
  <c r="G151" i="13"/>
  <c r="G494" i="13"/>
  <c r="G316" i="13"/>
  <c r="G580" i="13"/>
  <c r="G409" i="13"/>
  <c r="E1184" i="13"/>
  <c r="F1184" i="13" s="1"/>
  <c r="D1185" i="13" s="1"/>
  <c r="E152" i="13"/>
  <c r="F152" i="13" s="1"/>
  <c r="D153" i="13" s="1"/>
  <c r="E840" i="13"/>
  <c r="F840" i="13" s="1"/>
  <c r="D841" i="13" s="1"/>
  <c r="E317" i="13"/>
  <c r="F317" i="13" s="1"/>
  <c r="D318" i="13" s="1"/>
  <c r="E581" i="13"/>
  <c r="F581" i="13" s="1"/>
  <c r="D582" i="13" s="1"/>
  <c r="E410" i="13"/>
  <c r="F410" i="13" s="1"/>
  <c r="D411" i="13" s="1"/>
  <c r="E495" i="13"/>
  <c r="F495" i="13" s="1"/>
  <c r="D496" i="13" s="1"/>
  <c r="E926" i="13"/>
  <c r="F926" i="13" s="1"/>
  <c r="D927" i="13" s="1"/>
  <c r="G1011" i="13"/>
  <c r="G1097" i="13"/>
  <c r="E668" i="13"/>
  <c r="F668" i="13" s="1"/>
  <c r="D669" i="13" s="1"/>
  <c r="E238" i="13"/>
  <c r="F238" i="13" s="1"/>
  <c r="D239" i="13" s="1"/>
  <c r="E754" i="13"/>
  <c r="F754" i="13" s="1"/>
  <c r="D755" i="13" s="1"/>
  <c r="E1012" i="13"/>
  <c r="F1012" i="13" s="1"/>
  <c r="D1013" i="13" s="1"/>
  <c r="E1098" i="13"/>
  <c r="F1098" i="13" s="1"/>
  <c r="D1099" i="13" s="1"/>
  <c r="E1271" i="13"/>
  <c r="F1271" i="13" s="1"/>
  <c r="D1272" i="13" s="1"/>
  <c r="E58" i="41"/>
  <c r="J271" i="2" s="1"/>
  <c r="E21" i="13" s="1"/>
  <c r="F21" i="13" s="1"/>
  <c r="F24" i="13" s="1"/>
  <c r="E29" i="13" s="1"/>
  <c r="E30" i="13" s="1"/>
  <c r="G1184" i="13" l="1"/>
  <c r="G495" i="13"/>
  <c r="G238" i="13"/>
  <c r="G1271" i="13"/>
  <c r="G840" i="13"/>
  <c r="G926" i="13"/>
  <c r="G1098" i="13"/>
  <c r="G668" i="13"/>
  <c r="G317" i="13"/>
  <c r="E1272" i="13"/>
  <c r="F1272" i="13" s="1"/>
  <c r="D1273" i="13" s="1"/>
  <c r="E496" i="13"/>
  <c r="F496" i="13" s="1"/>
  <c r="D497" i="13" s="1"/>
  <c r="G1012" i="13"/>
  <c r="G1353" i="13"/>
  <c r="E1185" i="13"/>
  <c r="F1185" i="13" s="1"/>
  <c r="D1186" i="13" s="1"/>
  <c r="E318" i="13"/>
  <c r="F318" i="13" s="1"/>
  <c r="D319" i="13" s="1"/>
  <c r="G152" i="13"/>
  <c r="E1354" i="13"/>
  <c r="F1354" i="13" s="1"/>
  <c r="E582" i="13"/>
  <c r="F582" i="13" s="1"/>
  <c r="D583" i="13" s="1"/>
  <c r="E841" i="13"/>
  <c r="F841" i="13" s="1"/>
  <c r="D842" i="13" s="1"/>
  <c r="E1099" i="13"/>
  <c r="F1099" i="13" s="1"/>
  <c r="D1100" i="13" s="1"/>
  <c r="E755" i="13"/>
  <c r="F755" i="13" s="1"/>
  <c r="D756" i="13" s="1"/>
  <c r="G410" i="13"/>
  <c r="E669" i="13"/>
  <c r="F669" i="13" s="1"/>
  <c r="D670" i="13" s="1"/>
  <c r="E153" i="13"/>
  <c r="F153" i="13" s="1"/>
  <c r="D154" i="13" s="1"/>
  <c r="E927" i="13"/>
  <c r="F927" i="13" s="1"/>
  <c r="D928" i="13" s="1"/>
  <c r="E1013" i="13"/>
  <c r="F1013" i="13" s="1"/>
  <c r="D1014" i="13" s="1"/>
  <c r="G754" i="13"/>
  <c r="E411" i="13"/>
  <c r="F411" i="13" s="1"/>
  <c r="D412" i="13" s="1"/>
  <c r="E239" i="13"/>
  <c r="F239" i="13" s="1"/>
  <c r="D240" i="13" s="1"/>
  <c r="G581" i="13"/>
  <c r="E21" i="20"/>
  <c r="F21" i="20" s="1"/>
  <c r="F24" i="20" s="1"/>
  <c r="F29" i="20" s="1"/>
  <c r="F30" i="20" s="1"/>
  <c r="F34" i="20" s="1"/>
  <c r="L271" i="2"/>
  <c r="E34" i="13"/>
  <c r="F56" i="13"/>
  <c r="L274" i="2" l="1"/>
  <c r="G239" i="13"/>
  <c r="G841" i="13"/>
  <c r="G411" i="13"/>
  <c r="G669" i="13"/>
  <c r="G1185" i="13"/>
  <c r="G1099" i="13"/>
  <c r="G927" i="13"/>
  <c r="G318" i="13"/>
  <c r="G1272" i="13"/>
  <c r="G755" i="13"/>
  <c r="D1355" i="13"/>
  <c r="G1354" i="13"/>
  <c r="E670" i="13"/>
  <c r="F670" i="13" s="1"/>
  <c r="D671" i="13" s="1"/>
  <c r="E319" i="13"/>
  <c r="F319" i="13" s="1"/>
  <c r="D320" i="13" s="1"/>
  <c r="E240" i="13"/>
  <c r="F240" i="13" s="1"/>
  <c r="D241" i="13" s="1"/>
  <c r="E756" i="13"/>
  <c r="F756" i="13" s="1"/>
  <c r="D757" i="13" s="1"/>
  <c r="E1186" i="13"/>
  <c r="F1186" i="13" s="1"/>
  <c r="D1187" i="13" s="1"/>
  <c r="E412" i="13"/>
  <c r="F412" i="13" s="1"/>
  <c r="D413" i="13" s="1"/>
  <c r="E1100" i="13"/>
  <c r="F1100" i="13" s="1"/>
  <c r="D1101" i="13" s="1"/>
  <c r="G1013" i="13"/>
  <c r="E842" i="13"/>
  <c r="F842" i="13" s="1"/>
  <c r="D843" i="13" s="1"/>
  <c r="G496" i="13"/>
  <c r="E154" i="13"/>
  <c r="F154" i="13" s="1"/>
  <c r="D155" i="13" s="1"/>
  <c r="E1014" i="13"/>
  <c r="F1014" i="13" s="1"/>
  <c r="D1015" i="13" s="1"/>
  <c r="G582" i="13"/>
  <c r="E497" i="13"/>
  <c r="F497" i="13" s="1"/>
  <c r="D498" i="13" s="1"/>
  <c r="E583" i="13"/>
  <c r="F583" i="13" s="1"/>
  <c r="D584" i="13" s="1"/>
  <c r="E928" i="13"/>
  <c r="F928" i="13" s="1"/>
  <c r="D929" i="13" s="1"/>
  <c r="E1273" i="13"/>
  <c r="F1273" i="13" s="1"/>
  <c r="D1274" i="13" s="1"/>
  <c r="G153" i="13"/>
  <c r="G56" i="20"/>
  <c r="L213" i="2" l="1"/>
  <c r="G49" i="20" s="1"/>
  <c r="G213" i="2"/>
  <c r="G198" i="2"/>
  <c r="G842" i="13"/>
  <c r="G154" i="13"/>
  <c r="G1186" i="13"/>
  <c r="G240" i="13"/>
  <c r="G756" i="13"/>
  <c r="G1014" i="13"/>
  <c r="G1100" i="13"/>
  <c r="G412" i="13"/>
  <c r="G497" i="13"/>
  <c r="E584" i="13"/>
  <c r="F584" i="13" s="1"/>
  <c r="D585" i="13" s="1"/>
  <c r="E413" i="13"/>
  <c r="F413" i="13" s="1"/>
  <c r="D414" i="13" s="1"/>
  <c r="E757" i="13"/>
  <c r="F757" i="13" s="1"/>
  <c r="D758" i="13" s="1"/>
  <c r="E155" i="13"/>
  <c r="F155" i="13" s="1"/>
  <c r="D156" i="13" s="1"/>
  <c r="E241" i="13"/>
  <c r="F241" i="13" s="1"/>
  <c r="D242" i="13" s="1"/>
  <c r="G319" i="13"/>
  <c r="E320" i="13"/>
  <c r="F320" i="13" s="1"/>
  <c r="D321" i="13" s="1"/>
  <c r="E1274" i="13"/>
  <c r="F1274" i="13" s="1"/>
  <c r="D1275" i="13" s="1"/>
  <c r="E843" i="13"/>
  <c r="F843" i="13" s="1"/>
  <c r="D844" i="13" s="1"/>
  <c r="G670" i="13"/>
  <c r="E1015" i="13"/>
  <c r="F1015" i="13" s="1"/>
  <c r="D1016" i="13" s="1"/>
  <c r="E671" i="13"/>
  <c r="F671" i="13" s="1"/>
  <c r="D672" i="13" s="1"/>
  <c r="E498" i="13"/>
  <c r="F498" i="13" s="1"/>
  <c r="D499" i="13" s="1"/>
  <c r="E1187" i="13"/>
  <c r="F1187" i="13" s="1"/>
  <c r="D1188" i="13" s="1"/>
  <c r="E929" i="13"/>
  <c r="F929" i="13" s="1"/>
  <c r="D930" i="13" s="1"/>
  <c r="G1273" i="13"/>
  <c r="G928" i="13"/>
  <c r="G583" i="13"/>
  <c r="E1101" i="13"/>
  <c r="F1101" i="13" s="1"/>
  <c r="D1102" i="13" s="1"/>
  <c r="E1355" i="13"/>
  <c r="F1355" i="13" s="1"/>
  <c r="D1356" i="13" s="1"/>
  <c r="F49" i="13" l="1"/>
  <c r="L206" i="2"/>
  <c r="L211" i="2" s="1"/>
  <c r="F50" i="13" s="1"/>
  <c r="G206" i="2"/>
  <c r="G211" i="2" s="1"/>
  <c r="G219" i="2"/>
  <c r="L219" i="2"/>
  <c r="F35" i="20"/>
  <c r="F36" i="20" s="1"/>
  <c r="F40" i="20" s="1"/>
  <c r="G57" i="20" s="1"/>
  <c r="E35" i="13"/>
  <c r="E36" i="13" s="1"/>
  <c r="E40" i="13" s="1"/>
  <c r="F57" i="13" s="1"/>
  <c r="G155" i="13"/>
  <c r="G498" i="13"/>
  <c r="G1187" i="13"/>
  <c r="G843" i="13"/>
  <c r="G241" i="13"/>
  <c r="G1355" i="13"/>
  <c r="G413" i="13"/>
  <c r="G584" i="13"/>
  <c r="G1101" i="13"/>
  <c r="E499" i="13"/>
  <c r="F499" i="13" s="1"/>
  <c r="D500" i="13" s="1"/>
  <c r="E672" i="13"/>
  <c r="F672" i="13" s="1"/>
  <c r="D673" i="13" s="1"/>
  <c r="G929" i="13"/>
  <c r="G320" i="13"/>
  <c r="E242" i="13"/>
  <c r="F242" i="13" s="1"/>
  <c r="D243" i="13" s="1"/>
  <c r="G671" i="13"/>
  <c r="E1356" i="13"/>
  <c r="F1356" i="13" s="1"/>
  <c r="E156" i="13"/>
  <c r="F156" i="13" s="1"/>
  <c r="D157" i="13" s="1"/>
  <c r="G1015" i="13"/>
  <c r="G757" i="13"/>
  <c r="E930" i="13"/>
  <c r="F930" i="13" s="1"/>
  <c r="D931" i="13" s="1"/>
  <c r="E758" i="13"/>
  <c r="F758" i="13" s="1"/>
  <c r="D759" i="13" s="1"/>
  <c r="E321" i="13"/>
  <c r="F321" i="13" s="1"/>
  <c r="D322" i="13" s="1"/>
  <c r="E414" i="13"/>
  <c r="F414" i="13" s="1"/>
  <c r="D415" i="13" s="1"/>
  <c r="E1275" i="13"/>
  <c r="F1275" i="13" s="1"/>
  <c r="D1276" i="13" s="1"/>
  <c r="E1188" i="13"/>
  <c r="F1188" i="13" s="1"/>
  <c r="D1189" i="13" s="1"/>
  <c r="E1016" i="13"/>
  <c r="F1016" i="13" s="1"/>
  <c r="D1017" i="13" s="1"/>
  <c r="E844" i="13"/>
  <c r="F844" i="13" s="1"/>
  <c r="D845" i="13" s="1"/>
  <c r="E1102" i="13"/>
  <c r="F1102" i="13" s="1"/>
  <c r="D1103" i="13" s="1"/>
  <c r="G1274" i="13"/>
  <c r="E585" i="13"/>
  <c r="F585" i="13" s="1"/>
  <c r="D586" i="13" s="1"/>
  <c r="G50" i="20" l="1"/>
  <c r="L221" i="2"/>
  <c r="L13" i="2" s="1"/>
  <c r="G221" i="2"/>
  <c r="G1188" i="13"/>
  <c r="G1275" i="13"/>
  <c r="G414" i="13"/>
  <c r="G585" i="13"/>
  <c r="G156" i="13"/>
  <c r="G499" i="13"/>
  <c r="G242" i="13"/>
  <c r="G1016" i="13"/>
  <c r="G321" i="13"/>
  <c r="D1357" i="13"/>
  <c r="G1356" i="13"/>
  <c r="E415" i="13"/>
  <c r="F415" i="13" s="1"/>
  <c r="D416" i="13" s="1"/>
  <c r="E1189" i="13"/>
  <c r="F1189" i="13" s="1"/>
  <c r="D1190" i="13" s="1"/>
  <c r="E1276" i="13"/>
  <c r="F1276" i="13" s="1"/>
  <c r="D1277" i="13" s="1"/>
  <c r="E586" i="13"/>
  <c r="F586" i="13" s="1"/>
  <c r="D587" i="13" s="1"/>
  <c r="E322" i="13"/>
  <c r="F322" i="13" s="1"/>
  <c r="D323" i="13" s="1"/>
  <c r="E243" i="13"/>
  <c r="F243" i="13" s="1"/>
  <c r="D244" i="13" s="1"/>
  <c r="G1102" i="13"/>
  <c r="G758" i="13"/>
  <c r="E759" i="13"/>
  <c r="F759" i="13" s="1"/>
  <c r="D760" i="13" s="1"/>
  <c r="E157" i="13"/>
  <c r="F157" i="13" s="1"/>
  <c r="D158" i="13" s="1"/>
  <c r="E1103" i="13"/>
  <c r="F1103" i="13" s="1"/>
  <c r="D1104" i="13" s="1"/>
  <c r="G844" i="13"/>
  <c r="G930" i="13"/>
  <c r="G672" i="13"/>
  <c r="E845" i="13"/>
  <c r="F845" i="13" s="1"/>
  <c r="D846" i="13" s="1"/>
  <c r="E931" i="13"/>
  <c r="F931" i="13" s="1"/>
  <c r="D932" i="13" s="1"/>
  <c r="E673" i="13"/>
  <c r="F673" i="13" s="1"/>
  <c r="D674" i="13" s="1"/>
  <c r="E1017" i="13"/>
  <c r="F1017" i="13" s="1"/>
  <c r="D1018" i="13" s="1"/>
  <c r="E500" i="13"/>
  <c r="F500" i="13" s="1"/>
  <c r="D501" i="13" s="1"/>
  <c r="L37" i="2" l="1"/>
  <c r="F47" i="13"/>
  <c r="F51" i="13" s="1"/>
  <c r="F55" i="13" s="1"/>
  <c r="F58" i="13" s="1"/>
  <c r="F60" i="13" s="1"/>
  <c r="F68" i="13" s="1"/>
  <c r="F69" i="13" s="1"/>
  <c r="L20" i="2"/>
  <c r="G47" i="20"/>
  <c r="G51" i="20" s="1"/>
  <c r="G55" i="20" s="1"/>
  <c r="G58" i="20" s="1"/>
  <c r="G60" i="20" s="1"/>
  <c r="G68" i="20" s="1"/>
  <c r="G69" i="20" s="1"/>
  <c r="L34" i="2"/>
  <c r="G70" i="20" s="1"/>
  <c r="L30" i="2"/>
  <c r="L31" i="2" s="1"/>
  <c r="G1103" i="13"/>
  <c r="G759" i="13"/>
  <c r="G845" i="13"/>
  <c r="G1017" i="13"/>
  <c r="G586" i="13"/>
  <c r="G1276" i="13"/>
  <c r="G322" i="13"/>
  <c r="G243" i="13"/>
  <c r="G500" i="13"/>
  <c r="G673" i="13"/>
  <c r="E587" i="13"/>
  <c r="F587" i="13" s="1"/>
  <c r="D588" i="13" s="1"/>
  <c r="E1104" i="13"/>
  <c r="F1104" i="13" s="1"/>
  <c r="D1105" i="13" s="1"/>
  <c r="E1277" i="13"/>
  <c r="F1277" i="13" s="1"/>
  <c r="D1278" i="13" s="1"/>
  <c r="E501" i="13"/>
  <c r="F501" i="13" s="1"/>
  <c r="D502" i="13" s="1"/>
  <c r="G157" i="13"/>
  <c r="G1189" i="13"/>
  <c r="E244" i="13"/>
  <c r="F244" i="13" s="1"/>
  <c r="D245" i="13" s="1"/>
  <c r="E416" i="13"/>
  <c r="F416" i="13" s="1"/>
  <c r="D417" i="13" s="1"/>
  <c r="E158" i="13"/>
  <c r="F158" i="13" s="1"/>
  <c r="D159" i="13" s="1"/>
  <c r="E1190" i="13"/>
  <c r="F1190" i="13" s="1"/>
  <c r="D1191" i="13" s="1"/>
  <c r="E760" i="13"/>
  <c r="F760" i="13" s="1"/>
  <c r="D761" i="13" s="1"/>
  <c r="E932" i="13"/>
  <c r="F932" i="13" s="1"/>
  <c r="D933" i="13" s="1"/>
  <c r="E846" i="13"/>
  <c r="F846" i="13" s="1"/>
  <c r="D847" i="13" s="1"/>
  <c r="E323" i="13"/>
  <c r="F323" i="13" s="1"/>
  <c r="D324" i="13" s="1"/>
  <c r="E1018" i="13"/>
  <c r="F1018" i="13" s="1"/>
  <c r="D1019" i="13" s="1"/>
  <c r="G415" i="13"/>
  <c r="E674" i="13"/>
  <c r="F674" i="13" s="1"/>
  <c r="D675" i="13" s="1"/>
  <c r="G931" i="13"/>
  <c r="E1357" i="13"/>
  <c r="F1357" i="13" s="1"/>
  <c r="F65" i="13" l="1"/>
  <c r="F66" i="13" s="1"/>
  <c r="G65" i="20"/>
  <c r="G66" i="20" s="1"/>
  <c r="F70" i="13"/>
  <c r="J1303" i="13" s="1"/>
  <c r="G846" i="13"/>
  <c r="G587" i="13"/>
  <c r="G674" i="13"/>
  <c r="G323" i="13"/>
  <c r="G1190" i="13"/>
  <c r="G158" i="13"/>
  <c r="G1018" i="13"/>
  <c r="G244" i="13"/>
  <c r="G501" i="13"/>
  <c r="G932" i="13"/>
  <c r="G416" i="13"/>
  <c r="D1358" i="13"/>
  <c r="G1357" i="13"/>
  <c r="E417" i="13"/>
  <c r="F417" i="13" s="1"/>
  <c r="D418" i="13" s="1"/>
  <c r="E245" i="13"/>
  <c r="F245" i="13" s="1"/>
  <c r="D246" i="13" s="1"/>
  <c r="E847" i="13"/>
  <c r="F847" i="13" s="1"/>
  <c r="D848" i="13" s="1"/>
  <c r="E933" i="13"/>
  <c r="F933" i="13" s="1"/>
  <c r="D934" i="13" s="1"/>
  <c r="E502" i="13"/>
  <c r="F502" i="13" s="1"/>
  <c r="D503" i="13" s="1"/>
  <c r="G760" i="13"/>
  <c r="G1277" i="13"/>
  <c r="E1019" i="13"/>
  <c r="F1019" i="13" s="1"/>
  <c r="D1020" i="13" s="1"/>
  <c r="E1278" i="13"/>
  <c r="F1278" i="13" s="1"/>
  <c r="D1279" i="13" s="1"/>
  <c r="E1105" i="13"/>
  <c r="F1105" i="13" s="1"/>
  <c r="D1106" i="13" s="1"/>
  <c r="E324" i="13"/>
  <c r="F324" i="13" s="1"/>
  <c r="D325" i="13" s="1"/>
  <c r="E761" i="13"/>
  <c r="F761" i="13" s="1"/>
  <c r="D762" i="13" s="1"/>
  <c r="G1104" i="13"/>
  <c r="E1191" i="13"/>
  <c r="F1191" i="13" s="1"/>
  <c r="D1192" i="13" s="1"/>
  <c r="E675" i="13"/>
  <c r="F675" i="13" s="1"/>
  <c r="D676" i="13" s="1"/>
  <c r="E159" i="13"/>
  <c r="F159" i="13" s="1"/>
  <c r="D160" i="13" s="1"/>
  <c r="E588" i="13"/>
  <c r="F588" i="13" s="1"/>
  <c r="D589" i="13" s="1"/>
  <c r="G71" i="20"/>
  <c r="I988" i="20"/>
  <c r="I365" i="20"/>
  <c r="I1166" i="20"/>
  <c r="I1167" i="20" s="1"/>
  <c r="I632" i="20"/>
  <c r="I899" i="20"/>
  <c r="I97" i="20"/>
  <c r="I187" i="20"/>
  <c r="I454" i="20"/>
  <c r="I276" i="20"/>
  <c r="I543" i="20"/>
  <c r="I721" i="20"/>
  <c r="I1077" i="20"/>
  <c r="I1078" i="20" s="1"/>
  <c r="I810" i="20"/>
  <c r="J527" i="13" l="1"/>
  <c r="H542" i="13" s="1"/>
  <c r="J269" i="13"/>
  <c r="H280" i="13" s="1"/>
  <c r="M280" i="13" s="1"/>
  <c r="J957" i="13"/>
  <c r="H986" i="13" s="1"/>
  <c r="J1129" i="13"/>
  <c r="H1150" i="13" s="1"/>
  <c r="J1216" i="13"/>
  <c r="H1267" i="13" s="1"/>
  <c r="J871" i="13"/>
  <c r="H898" i="13" s="1"/>
  <c r="J785" i="13"/>
  <c r="H831" i="13" s="1"/>
  <c r="J613" i="13"/>
  <c r="H623" i="13" s="1"/>
  <c r="M623" i="13" s="1"/>
  <c r="J97" i="13"/>
  <c r="H107" i="13" s="1"/>
  <c r="M107" i="13" s="1"/>
  <c r="J699" i="13"/>
  <c r="J700" i="13" s="1"/>
  <c r="F71" i="13"/>
  <c r="J355" i="13"/>
  <c r="H375" i="13" s="1"/>
  <c r="J441" i="13"/>
  <c r="H457" i="13" s="1"/>
  <c r="J1043" i="13"/>
  <c r="H1083" i="13" s="1"/>
  <c r="J183" i="13"/>
  <c r="H191" i="13" s="1"/>
  <c r="M191" i="13" s="1"/>
  <c r="G847" i="13"/>
  <c r="G324" i="13"/>
  <c r="G1191" i="13"/>
  <c r="G502" i="13"/>
  <c r="G1019" i="13"/>
  <c r="G159" i="13"/>
  <c r="G761" i="13"/>
  <c r="G933" i="13"/>
  <c r="E762" i="13"/>
  <c r="F762" i="13" s="1"/>
  <c r="D763" i="13" s="1"/>
  <c r="E934" i="13"/>
  <c r="F934" i="13" s="1"/>
  <c r="D935" i="13" s="1"/>
  <c r="E676" i="13"/>
  <c r="F676" i="13" s="1"/>
  <c r="D677" i="13" s="1"/>
  <c r="E1192" i="13"/>
  <c r="F1192" i="13" s="1"/>
  <c r="D1193" i="13" s="1"/>
  <c r="E503" i="13"/>
  <c r="F503" i="13" s="1"/>
  <c r="D504" i="13" s="1"/>
  <c r="E848" i="13"/>
  <c r="F848" i="13" s="1"/>
  <c r="D849" i="13" s="1"/>
  <c r="G1105" i="13"/>
  <c r="G245" i="13"/>
  <c r="G588" i="13"/>
  <c r="E1106" i="13"/>
  <c r="F1106" i="13" s="1"/>
  <c r="D1107" i="13" s="1"/>
  <c r="E246" i="13"/>
  <c r="F246" i="13" s="1"/>
  <c r="D247" i="13" s="1"/>
  <c r="E589" i="13"/>
  <c r="F589" i="13" s="1"/>
  <c r="D590" i="13" s="1"/>
  <c r="G1278" i="13"/>
  <c r="G417" i="13"/>
  <c r="E1279" i="13"/>
  <c r="F1279" i="13" s="1"/>
  <c r="D1280" i="13" s="1"/>
  <c r="E418" i="13"/>
  <c r="F418" i="13" s="1"/>
  <c r="D419" i="13" s="1"/>
  <c r="E325" i="13"/>
  <c r="F325" i="13" s="1"/>
  <c r="D326" i="13" s="1"/>
  <c r="E160" i="13"/>
  <c r="F160" i="13" s="1"/>
  <c r="D161" i="13" s="1"/>
  <c r="G675" i="13"/>
  <c r="E1020" i="13"/>
  <c r="F1020" i="13" s="1"/>
  <c r="D1021" i="13" s="1"/>
  <c r="E1358" i="13"/>
  <c r="F1358" i="13" s="1"/>
  <c r="D1359" i="13" s="1"/>
  <c r="G488" i="20"/>
  <c r="G463" i="20"/>
  <c r="G475" i="20"/>
  <c r="G494" i="20"/>
  <c r="G486" i="20"/>
  <c r="G515" i="20"/>
  <c r="G469" i="20"/>
  <c r="G482" i="20"/>
  <c r="G495" i="20"/>
  <c r="G514" i="20"/>
  <c r="G505" i="20"/>
  <c r="G492" i="20"/>
  <c r="G485" i="20"/>
  <c r="G518" i="20"/>
  <c r="G506" i="20"/>
  <c r="G466" i="20"/>
  <c r="G496" i="20"/>
  <c r="G509" i="20"/>
  <c r="G503" i="20"/>
  <c r="G501" i="20"/>
  <c r="G479" i="20"/>
  <c r="G478" i="20"/>
  <c r="G480" i="20"/>
  <c r="G471" i="20"/>
  <c r="G462" i="20"/>
  <c r="N446" i="20" s="1"/>
  <c r="G481" i="20"/>
  <c r="G507" i="20"/>
  <c r="G465" i="20"/>
  <c r="G491" i="20"/>
  <c r="G473" i="20"/>
  <c r="G468" i="20"/>
  <c r="G500" i="20"/>
  <c r="G459" i="20"/>
  <c r="G490" i="20"/>
  <c r="G489" i="20"/>
  <c r="G511" i="20"/>
  <c r="G517" i="20"/>
  <c r="G512" i="20"/>
  <c r="G477" i="20"/>
  <c r="G484" i="20"/>
  <c r="G461" i="20"/>
  <c r="G510" i="20"/>
  <c r="G498" i="20"/>
  <c r="I455" i="20"/>
  <c r="G467" i="20"/>
  <c r="G504" i="20"/>
  <c r="G470" i="20"/>
  <c r="G516" i="20"/>
  <c r="G474" i="20"/>
  <c r="G502" i="20"/>
  <c r="G493" i="20"/>
  <c r="G487" i="20"/>
  <c r="G497" i="20"/>
  <c r="G476" i="20"/>
  <c r="G464" i="20"/>
  <c r="G483" i="20"/>
  <c r="G508" i="20"/>
  <c r="G499" i="20"/>
  <c r="G513" i="20"/>
  <c r="G460" i="20"/>
  <c r="G472" i="20"/>
  <c r="G150" i="20"/>
  <c r="G111" i="20"/>
  <c r="G110" i="20"/>
  <c r="G113" i="20"/>
  <c r="G132" i="20"/>
  <c r="G106" i="20"/>
  <c r="G146" i="20"/>
  <c r="G137" i="20"/>
  <c r="G148" i="20"/>
  <c r="I98" i="20"/>
  <c r="G130" i="20"/>
  <c r="G121" i="20"/>
  <c r="G138" i="20"/>
  <c r="G120" i="20"/>
  <c r="G104" i="20"/>
  <c r="G159" i="20"/>
  <c r="G102" i="20"/>
  <c r="G142" i="20"/>
  <c r="G140" i="20"/>
  <c r="G160" i="20"/>
  <c r="G108" i="20"/>
  <c r="G154" i="20"/>
  <c r="G125" i="20"/>
  <c r="G109" i="20"/>
  <c r="G158" i="20"/>
  <c r="G118" i="20"/>
  <c r="G144" i="20"/>
  <c r="G131" i="20"/>
  <c r="G135" i="20"/>
  <c r="G117" i="20"/>
  <c r="G119" i="20"/>
  <c r="G157" i="20"/>
  <c r="G128" i="20"/>
  <c r="G126" i="20"/>
  <c r="G133" i="20"/>
  <c r="G127" i="20"/>
  <c r="G155" i="20"/>
  <c r="G105" i="20"/>
  <c r="G152" i="20"/>
  <c r="G103" i="20"/>
  <c r="G136" i="20"/>
  <c r="G153" i="20"/>
  <c r="G141" i="20"/>
  <c r="G123" i="20"/>
  <c r="G134" i="20"/>
  <c r="G122" i="20"/>
  <c r="G143" i="20"/>
  <c r="G129" i="20"/>
  <c r="G112" i="20"/>
  <c r="N89" i="20" s="1"/>
  <c r="G115" i="20"/>
  <c r="G139" i="20"/>
  <c r="G107" i="20"/>
  <c r="G149" i="20"/>
  <c r="G114" i="20"/>
  <c r="G151" i="20"/>
  <c r="G124" i="20"/>
  <c r="G147" i="20"/>
  <c r="G156" i="20"/>
  <c r="G116" i="20"/>
  <c r="G161" i="20"/>
  <c r="G145" i="20"/>
  <c r="H1330" i="13"/>
  <c r="H1338" i="13"/>
  <c r="H1353" i="13"/>
  <c r="H1317" i="13"/>
  <c r="H1310" i="13"/>
  <c r="M1310" i="13" s="1"/>
  <c r="H1356" i="13"/>
  <c r="H1339" i="13"/>
  <c r="H1342" i="13"/>
  <c r="H1309" i="13"/>
  <c r="H1321" i="13"/>
  <c r="H1312" i="13"/>
  <c r="M1312" i="13" s="1"/>
  <c r="H1316" i="13"/>
  <c r="H1324" i="13"/>
  <c r="H1349" i="13"/>
  <c r="H1322" i="13"/>
  <c r="H1335" i="13"/>
  <c r="H1315" i="13"/>
  <c r="H1318" i="13"/>
  <c r="H1340" i="13"/>
  <c r="H1355" i="13"/>
  <c r="H1314" i="13"/>
  <c r="M1314" i="13" s="1"/>
  <c r="H1337" i="13"/>
  <c r="H1350" i="13"/>
  <c r="H1346" i="13"/>
  <c r="H1348" i="13"/>
  <c r="H1347" i="13"/>
  <c r="H1345" i="13"/>
  <c r="H1329" i="13"/>
  <c r="H1331" i="13"/>
  <c r="J1304" i="13"/>
  <c r="H1332" i="13"/>
  <c r="H1319" i="13"/>
  <c r="H1308" i="13"/>
  <c r="H1333" i="13"/>
  <c r="H1351" i="13"/>
  <c r="H1326" i="13"/>
  <c r="H1311" i="13"/>
  <c r="M1311" i="13" s="1"/>
  <c r="H1357" i="13"/>
  <c r="H1334" i="13"/>
  <c r="H1328" i="13"/>
  <c r="H1327" i="13"/>
  <c r="H1323" i="13"/>
  <c r="H1320" i="13"/>
  <c r="H1325" i="13"/>
  <c r="H1354" i="13"/>
  <c r="H1344" i="13"/>
  <c r="H1343" i="13"/>
  <c r="H1313" i="13"/>
  <c r="H1336" i="13"/>
  <c r="H1341" i="13"/>
  <c r="H1352" i="13"/>
  <c r="G859" i="20"/>
  <c r="G845" i="20"/>
  <c r="G818" i="20"/>
  <c r="G868" i="20"/>
  <c r="G830" i="20"/>
  <c r="G842" i="20"/>
  <c r="G816" i="20"/>
  <c r="G851" i="20"/>
  <c r="G866" i="20"/>
  <c r="G857" i="20"/>
  <c r="G823" i="20"/>
  <c r="G825" i="20"/>
  <c r="G817" i="20"/>
  <c r="G835" i="20"/>
  <c r="G865" i="20"/>
  <c r="G836" i="20"/>
  <c r="G827" i="20"/>
  <c r="G821" i="20"/>
  <c r="G847" i="20"/>
  <c r="G853" i="20"/>
  <c r="G856" i="20"/>
  <c r="G838" i="20"/>
  <c r="G839" i="20"/>
  <c r="G852" i="20"/>
  <c r="G858" i="20"/>
  <c r="G843" i="20"/>
  <c r="G820" i="20"/>
  <c r="G837" i="20"/>
  <c r="G854" i="20"/>
  <c r="G869" i="20"/>
  <c r="G841" i="20"/>
  <c r="G864" i="20"/>
  <c r="G828" i="20"/>
  <c r="G855" i="20"/>
  <c r="G815" i="20"/>
  <c r="G822" i="20"/>
  <c r="G834" i="20"/>
  <c r="G840" i="20"/>
  <c r="G860" i="20"/>
  <c r="G824" i="20"/>
  <c r="G849" i="20"/>
  <c r="G819" i="20"/>
  <c r="N802" i="20" s="1"/>
  <c r="G829" i="20"/>
  <c r="G826" i="20"/>
  <c r="G873" i="20"/>
  <c r="G872" i="20"/>
  <c r="G848" i="20"/>
  <c r="G861" i="20"/>
  <c r="G874" i="20"/>
  <c r="G833" i="20"/>
  <c r="G844" i="20"/>
  <c r="G863" i="20"/>
  <c r="I811" i="20"/>
  <c r="G871" i="20"/>
  <c r="G850" i="20"/>
  <c r="G846" i="20"/>
  <c r="G867" i="20"/>
  <c r="G832" i="20"/>
  <c r="G870" i="20"/>
  <c r="G831" i="20"/>
  <c r="G862" i="20"/>
  <c r="G923" i="20"/>
  <c r="G940" i="20"/>
  <c r="G942" i="20"/>
  <c r="G915" i="20"/>
  <c r="G934" i="20"/>
  <c r="G939" i="20"/>
  <c r="G913" i="20"/>
  <c r="G946" i="20"/>
  <c r="G912" i="20"/>
  <c r="G948" i="20"/>
  <c r="G944" i="20"/>
  <c r="G959" i="20"/>
  <c r="G932" i="20"/>
  <c r="G937" i="20"/>
  <c r="G957" i="20"/>
  <c r="G926" i="20"/>
  <c r="G954" i="20"/>
  <c r="G918" i="20"/>
  <c r="G960" i="20"/>
  <c r="I900" i="20"/>
  <c r="G943" i="20"/>
  <c r="G949" i="20"/>
  <c r="G904" i="20"/>
  <c r="G927" i="20"/>
  <c r="G933" i="20"/>
  <c r="G930" i="20"/>
  <c r="G956" i="20"/>
  <c r="G919" i="20"/>
  <c r="G921" i="20"/>
  <c r="G950" i="20"/>
  <c r="G911" i="20"/>
  <c r="G935" i="20"/>
  <c r="G955" i="20"/>
  <c r="G922" i="20"/>
  <c r="G924" i="20"/>
  <c r="G941" i="20"/>
  <c r="G920" i="20"/>
  <c r="G910" i="20"/>
  <c r="G938" i="20"/>
  <c r="G952" i="20"/>
  <c r="G947" i="20"/>
  <c r="G929" i="20"/>
  <c r="G961" i="20"/>
  <c r="G963" i="20"/>
  <c r="G907" i="20"/>
  <c r="G925" i="20"/>
  <c r="G945" i="20"/>
  <c r="G906" i="20"/>
  <c r="N891" i="20" s="1"/>
  <c r="G953" i="20"/>
  <c r="G936" i="20"/>
  <c r="G931" i="20"/>
  <c r="G908" i="20"/>
  <c r="G958" i="20"/>
  <c r="G962" i="20"/>
  <c r="G916" i="20"/>
  <c r="G917" i="20"/>
  <c r="G905" i="20"/>
  <c r="G951" i="20"/>
  <c r="G909" i="20"/>
  <c r="G914" i="20"/>
  <c r="G928" i="20"/>
  <c r="G688" i="20"/>
  <c r="G652" i="20"/>
  <c r="G681" i="20"/>
  <c r="G691" i="20"/>
  <c r="G659" i="20"/>
  <c r="G660" i="20"/>
  <c r="G680" i="20"/>
  <c r="G665" i="20"/>
  <c r="G657" i="20"/>
  <c r="G694" i="20"/>
  <c r="I633" i="20"/>
  <c r="G642" i="20"/>
  <c r="G650" i="20"/>
  <c r="G671" i="20"/>
  <c r="G667" i="20"/>
  <c r="G640" i="20"/>
  <c r="G651" i="20"/>
  <c r="G679" i="20"/>
  <c r="G683" i="20"/>
  <c r="G644" i="20"/>
  <c r="G645" i="20"/>
  <c r="G647" i="20"/>
  <c r="G658" i="20"/>
  <c r="G684" i="20"/>
  <c r="G690" i="20"/>
  <c r="G675" i="20"/>
  <c r="G641" i="20"/>
  <c r="G656" i="20"/>
  <c r="G682" i="20"/>
  <c r="G653" i="20"/>
  <c r="G673" i="20"/>
  <c r="G668" i="20"/>
  <c r="G695" i="20"/>
  <c r="G649" i="20"/>
  <c r="G661" i="20"/>
  <c r="G664" i="20"/>
  <c r="G639" i="20"/>
  <c r="N624" i="20" s="1"/>
  <c r="G646" i="20"/>
  <c r="G663" i="20"/>
  <c r="G670" i="20"/>
  <c r="G669" i="20"/>
  <c r="G677" i="20"/>
  <c r="G654" i="20"/>
  <c r="G674" i="20"/>
  <c r="G696" i="20"/>
  <c r="G692" i="20"/>
  <c r="G662" i="20"/>
  <c r="G655" i="20"/>
  <c r="G693" i="20"/>
  <c r="G666" i="20"/>
  <c r="G643" i="20"/>
  <c r="G638" i="20"/>
  <c r="G672" i="20"/>
  <c r="G689" i="20"/>
  <c r="G676" i="20"/>
  <c r="G687" i="20"/>
  <c r="G685" i="20"/>
  <c r="G648" i="20"/>
  <c r="G686" i="20"/>
  <c r="G637" i="20"/>
  <c r="G678" i="20"/>
  <c r="H552" i="13"/>
  <c r="H548" i="13"/>
  <c r="H549" i="13"/>
  <c r="H545" i="13"/>
  <c r="G198" i="20"/>
  <c r="G196" i="20"/>
  <c r="G238" i="20"/>
  <c r="G205" i="20"/>
  <c r="G250" i="20"/>
  <c r="G225" i="20"/>
  <c r="G224" i="20"/>
  <c r="G228" i="20"/>
  <c r="G241" i="20"/>
  <c r="G249" i="20"/>
  <c r="G206" i="20"/>
  <c r="G251" i="20"/>
  <c r="G235" i="20"/>
  <c r="G211" i="20"/>
  <c r="G194" i="20"/>
  <c r="G204" i="20"/>
  <c r="G239" i="20"/>
  <c r="G207" i="20"/>
  <c r="G199" i="20"/>
  <c r="N179" i="20" s="1"/>
  <c r="G220" i="20"/>
  <c r="G212" i="20"/>
  <c r="G208" i="20"/>
  <c r="G222" i="20"/>
  <c r="G213" i="20"/>
  <c r="G215" i="20"/>
  <c r="G230" i="20"/>
  <c r="G232" i="20"/>
  <c r="G193" i="20"/>
  <c r="G226" i="20"/>
  <c r="G233" i="20"/>
  <c r="G229" i="20"/>
  <c r="G240" i="20"/>
  <c r="G246" i="20"/>
  <c r="G231" i="20"/>
  <c r="G243" i="20"/>
  <c r="G223" i="20"/>
  <c r="G195" i="20"/>
  <c r="G248" i="20"/>
  <c r="G244" i="20"/>
  <c r="G247" i="20"/>
  <c r="G210" i="20"/>
  <c r="G219" i="20"/>
  <c r="G242" i="20"/>
  <c r="G197" i="20"/>
  <c r="G218" i="20"/>
  <c r="G234" i="20"/>
  <c r="G200" i="20"/>
  <c r="G203" i="20"/>
  <c r="G221" i="20"/>
  <c r="G236" i="20"/>
  <c r="G237" i="20"/>
  <c r="G227" i="20"/>
  <c r="G201" i="20"/>
  <c r="G214" i="20"/>
  <c r="G245" i="20"/>
  <c r="I188" i="20"/>
  <c r="G192" i="20"/>
  <c r="G209" i="20"/>
  <c r="G217" i="20"/>
  <c r="G202" i="20"/>
  <c r="G216" i="20"/>
  <c r="G731" i="20"/>
  <c r="G766" i="20"/>
  <c r="G742" i="20"/>
  <c r="G754" i="20"/>
  <c r="G769" i="20"/>
  <c r="G767" i="20"/>
  <c r="G740" i="20"/>
  <c r="G736" i="20"/>
  <c r="G732" i="20"/>
  <c r="G730" i="20"/>
  <c r="G739" i="20"/>
  <c r="G765" i="20"/>
  <c r="G780" i="20"/>
  <c r="G784" i="20"/>
  <c r="G758" i="20"/>
  <c r="G753" i="20"/>
  <c r="G727" i="20"/>
  <c r="G760" i="20"/>
  <c r="G772" i="20"/>
  <c r="G734" i="20"/>
  <c r="G785" i="20"/>
  <c r="G775" i="20"/>
  <c r="G781" i="20"/>
  <c r="G728" i="20"/>
  <c r="G759" i="20"/>
  <c r="G744" i="20"/>
  <c r="G761" i="20"/>
  <c r="G748" i="20"/>
  <c r="G757" i="20"/>
  <c r="G779" i="20"/>
  <c r="G735" i="20"/>
  <c r="G756" i="20"/>
  <c r="G776" i="20"/>
  <c r="G743" i="20"/>
  <c r="G741" i="20"/>
  <c r="G762" i="20"/>
  <c r="G752" i="20"/>
  <c r="G777" i="20"/>
  <c r="G763" i="20"/>
  <c r="G768" i="20"/>
  <c r="G771" i="20"/>
  <c r="G749" i="20"/>
  <c r="I722" i="20"/>
  <c r="G774" i="20"/>
  <c r="G764" i="20"/>
  <c r="G745" i="20"/>
  <c r="G726" i="20"/>
  <c r="G733" i="20"/>
  <c r="G747" i="20"/>
  <c r="G783" i="20"/>
  <c r="G729" i="20"/>
  <c r="N713" i="20" s="1"/>
  <c r="G773" i="20"/>
  <c r="G782" i="20"/>
  <c r="G746" i="20"/>
  <c r="G770" i="20"/>
  <c r="G751" i="20"/>
  <c r="G738" i="20"/>
  <c r="G755" i="20"/>
  <c r="G737" i="20"/>
  <c r="G750" i="20"/>
  <c r="G778" i="20"/>
  <c r="G590" i="20"/>
  <c r="G577" i="20"/>
  <c r="G602" i="20"/>
  <c r="G548" i="20"/>
  <c r="G582" i="20"/>
  <c r="G551" i="20"/>
  <c r="G561" i="20"/>
  <c r="G585" i="20"/>
  <c r="G604" i="20"/>
  <c r="G552" i="20"/>
  <c r="G562" i="20"/>
  <c r="G574" i="20"/>
  <c r="G601" i="20"/>
  <c r="G589" i="20"/>
  <c r="G550" i="20"/>
  <c r="N535" i="20" s="1"/>
  <c r="G599" i="20"/>
  <c r="G570" i="20"/>
  <c r="G607" i="20"/>
  <c r="G573" i="20"/>
  <c r="G557" i="20"/>
  <c r="G556" i="20"/>
  <c r="G591" i="20"/>
  <c r="G587" i="20"/>
  <c r="G584" i="20"/>
  <c r="G575" i="20"/>
  <c r="G598" i="20"/>
  <c r="G559" i="20"/>
  <c r="G586" i="20"/>
  <c r="G588" i="20"/>
  <c r="G597" i="20"/>
  <c r="G593" i="20"/>
  <c r="G580" i="20"/>
  <c r="G555" i="20"/>
  <c r="G579" i="20"/>
  <c r="G568" i="20"/>
  <c r="G606" i="20"/>
  <c r="G578" i="20"/>
  <c r="G558" i="20"/>
  <c r="G595" i="20"/>
  <c r="G571" i="20"/>
  <c r="G596" i="20"/>
  <c r="G583" i="20"/>
  <c r="G566" i="20"/>
  <c r="G581" i="20"/>
  <c r="G603" i="20"/>
  <c r="G569" i="20"/>
  <c r="G564" i="20"/>
  <c r="G600" i="20"/>
  <c r="G592" i="20"/>
  <c r="G560" i="20"/>
  <c r="G554" i="20"/>
  <c r="G567" i="20"/>
  <c r="G565" i="20"/>
  <c r="G605" i="20"/>
  <c r="G549" i="20"/>
  <c r="G563" i="20"/>
  <c r="I544" i="20"/>
  <c r="G576" i="20"/>
  <c r="G594" i="20"/>
  <c r="G572" i="20"/>
  <c r="G553" i="20"/>
  <c r="G399" i="20"/>
  <c r="G411" i="20"/>
  <c r="G375" i="20"/>
  <c r="G408" i="20"/>
  <c r="G403" i="20"/>
  <c r="G377" i="20"/>
  <c r="G418" i="20"/>
  <c r="G417" i="20"/>
  <c r="G407" i="20"/>
  <c r="G382" i="20"/>
  <c r="G379" i="20"/>
  <c r="G372" i="20"/>
  <c r="G425" i="20"/>
  <c r="G422" i="20"/>
  <c r="G385" i="20"/>
  <c r="G421" i="20"/>
  <c r="G419" i="20"/>
  <c r="G386" i="20"/>
  <c r="G412" i="20"/>
  <c r="G424" i="20"/>
  <c r="G429" i="20"/>
  <c r="G420" i="20"/>
  <c r="G397" i="20"/>
  <c r="G427" i="20"/>
  <c r="G373" i="20"/>
  <c r="G378" i="20"/>
  <c r="G371" i="20"/>
  <c r="G415" i="20"/>
  <c r="G413" i="20"/>
  <c r="G391" i="20"/>
  <c r="G402" i="20"/>
  <c r="G395" i="20"/>
  <c r="G426" i="20"/>
  <c r="G416" i="20"/>
  <c r="G394" i="20"/>
  <c r="G380" i="20"/>
  <c r="I366" i="20"/>
  <c r="G376" i="20"/>
  <c r="G410" i="20"/>
  <c r="G401" i="20"/>
  <c r="G374" i="20"/>
  <c r="N357" i="20" s="1"/>
  <c r="G389" i="20"/>
  <c r="G396" i="20"/>
  <c r="G381" i="20"/>
  <c r="G384" i="20"/>
  <c r="G370" i="20"/>
  <c r="G404" i="20"/>
  <c r="G409" i="20"/>
  <c r="G383" i="20"/>
  <c r="G390" i="20"/>
  <c r="G392" i="20"/>
  <c r="G387" i="20"/>
  <c r="G388" i="20"/>
  <c r="G423" i="20"/>
  <c r="G398" i="20"/>
  <c r="G405" i="20"/>
  <c r="G393" i="20"/>
  <c r="G428" i="20"/>
  <c r="G414" i="20"/>
  <c r="G406" i="20"/>
  <c r="G400" i="20"/>
  <c r="G330" i="20"/>
  <c r="G319" i="20"/>
  <c r="G316" i="20"/>
  <c r="G331" i="20"/>
  <c r="G302" i="20"/>
  <c r="G335" i="20"/>
  <c r="G322" i="20"/>
  <c r="G298" i="20"/>
  <c r="G283" i="20"/>
  <c r="G282" i="20"/>
  <c r="G290" i="20"/>
  <c r="G299" i="20"/>
  <c r="G286" i="20"/>
  <c r="G285" i="20"/>
  <c r="N268" i="20" s="1"/>
  <c r="G326" i="20"/>
  <c r="G320" i="20"/>
  <c r="G336" i="20"/>
  <c r="G296" i="20"/>
  <c r="G332" i="20"/>
  <c r="I277" i="20"/>
  <c r="G318" i="20"/>
  <c r="G328" i="20"/>
  <c r="G308" i="20"/>
  <c r="G300" i="20"/>
  <c r="G321" i="20"/>
  <c r="G297" i="20"/>
  <c r="G323" i="20"/>
  <c r="G292" i="20"/>
  <c r="G338" i="20"/>
  <c r="G293" i="20"/>
  <c r="G337" i="20"/>
  <c r="G303" i="20"/>
  <c r="G294" i="20"/>
  <c r="G334" i="20"/>
  <c r="G339" i="20"/>
  <c r="G287" i="20"/>
  <c r="G317" i="20"/>
  <c r="G313" i="20"/>
  <c r="G304" i="20"/>
  <c r="G327" i="20"/>
  <c r="G288" i="20"/>
  <c r="G307" i="20"/>
  <c r="G289" i="20"/>
  <c r="G310" i="20"/>
  <c r="G333" i="20"/>
  <c r="G284" i="20"/>
  <c r="G295" i="20"/>
  <c r="G309" i="20"/>
  <c r="G314" i="20"/>
  <c r="G305" i="20"/>
  <c r="G306" i="20"/>
  <c r="G311" i="20"/>
  <c r="G291" i="20"/>
  <c r="G340" i="20"/>
  <c r="G301" i="20"/>
  <c r="G315" i="20"/>
  <c r="G312" i="20"/>
  <c r="G281" i="20"/>
  <c r="G325" i="20"/>
  <c r="G329" i="20"/>
  <c r="G324" i="20"/>
  <c r="G1115" i="20"/>
  <c r="G1206" i="20"/>
  <c r="G1005" i="20"/>
  <c r="G1189" i="20"/>
  <c r="G1184" i="20"/>
  <c r="G1176" i="20"/>
  <c r="G1203" i="20"/>
  <c r="G1209" i="20"/>
  <c r="G1022" i="20"/>
  <c r="G1088" i="20"/>
  <c r="G1098" i="20"/>
  <c r="G1207" i="20"/>
  <c r="G1092" i="20"/>
  <c r="G1121" i="20"/>
  <c r="G1221" i="20"/>
  <c r="G1200" i="20"/>
  <c r="G1191" i="20"/>
  <c r="G1134" i="20"/>
  <c r="G1137" i="20"/>
  <c r="G1033" i="20"/>
  <c r="G1135" i="20"/>
  <c r="G1030" i="20"/>
  <c r="G1217" i="20"/>
  <c r="G1122" i="20"/>
  <c r="G1028" i="20"/>
  <c r="G1019" i="20"/>
  <c r="G1197" i="20"/>
  <c r="G1083" i="20"/>
  <c r="N1069" i="20" s="1"/>
  <c r="G1112" i="20"/>
  <c r="G1188" i="20"/>
  <c r="G1013" i="20"/>
  <c r="G1210" i="20"/>
  <c r="G1087" i="20"/>
  <c r="G1021" i="20"/>
  <c r="G1039" i="20"/>
  <c r="G1222" i="20"/>
  <c r="G1052" i="20"/>
  <c r="G1103" i="20"/>
  <c r="G1117" i="20"/>
  <c r="G1027" i="20"/>
  <c r="G1002" i="20"/>
  <c r="G1213" i="20"/>
  <c r="G1025" i="20"/>
  <c r="G1044" i="20"/>
  <c r="G1198" i="20"/>
  <c r="G1204" i="20"/>
  <c r="G1090" i="20"/>
  <c r="G1132" i="20"/>
  <c r="G1048" i="20"/>
  <c r="G1224" i="20"/>
  <c r="G1196" i="20"/>
  <c r="G1102" i="20"/>
  <c r="G1212" i="20"/>
  <c r="G1031" i="20"/>
  <c r="G1026" i="20"/>
  <c r="G1106" i="20"/>
  <c r="G1225" i="20"/>
  <c r="G1177" i="20"/>
  <c r="G1187" i="20"/>
  <c r="G1000" i="20"/>
  <c r="G1141" i="20"/>
  <c r="G1139" i="20"/>
  <c r="G1084" i="20"/>
  <c r="G1201" i="20"/>
  <c r="G1110" i="20"/>
  <c r="G1004" i="20"/>
  <c r="G1109" i="20"/>
  <c r="G1230" i="20"/>
  <c r="G1181" i="20"/>
  <c r="G1214" i="20"/>
  <c r="G1107" i="20"/>
  <c r="G1171" i="20"/>
  <c r="G1007" i="20"/>
  <c r="I989" i="20"/>
  <c r="G1001" i="20"/>
  <c r="G1116" i="20"/>
  <c r="G1037" i="20"/>
  <c r="G1179" i="20"/>
  <c r="G1009" i="20"/>
  <c r="G1085" i="20"/>
  <c r="G1050" i="20"/>
  <c r="G1016" i="20"/>
  <c r="G1113" i="20"/>
  <c r="G1089" i="20"/>
  <c r="G1226" i="20"/>
  <c r="G1118" i="20"/>
  <c r="G1017" i="20"/>
  <c r="G1202" i="20"/>
  <c r="G1015" i="20"/>
  <c r="G1182" i="20"/>
  <c r="G1199" i="20"/>
  <c r="G997" i="20"/>
  <c r="N980" i="20" s="1"/>
  <c r="G1130" i="20"/>
  <c r="G1190" i="20"/>
  <c r="G1131" i="20"/>
  <c r="G1129" i="20"/>
  <c r="G1094" i="20"/>
  <c r="G1032" i="20"/>
  <c r="G1100" i="20"/>
  <c r="G1045" i="20"/>
  <c r="G1205" i="20"/>
  <c r="G1127" i="20"/>
  <c r="G1091" i="20"/>
  <c r="G1227" i="20"/>
  <c r="G1120" i="20"/>
  <c r="G998" i="20"/>
  <c r="G1049" i="20"/>
  <c r="G1014" i="20"/>
  <c r="G1097" i="20"/>
  <c r="G1192" i="20"/>
  <c r="G1047" i="20"/>
  <c r="G1042" i="20"/>
  <c r="G1096" i="20"/>
  <c r="G1082" i="20"/>
  <c r="G1023" i="20"/>
  <c r="G1219" i="20"/>
  <c r="G1194" i="20"/>
  <c r="G1173" i="20"/>
  <c r="G1104" i="20"/>
  <c r="G1041" i="20"/>
  <c r="G1178" i="20"/>
  <c r="G994" i="20"/>
  <c r="G1018" i="20"/>
  <c r="G993" i="20"/>
  <c r="G1172" i="20"/>
  <c r="G1220" i="20"/>
  <c r="G1051" i="20"/>
  <c r="G1126" i="20"/>
  <c r="G1174" i="20"/>
  <c r="G1195" i="20"/>
  <c r="G1008" i="20"/>
  <c r="G1038" i="20"/>
  <c r="G1086" i="20"/>
  <c r="G1128" i="20"/>
  <c r="G1180" i="20"/>
  <c r="G1101" i="20"/>
  <c r="G1123" i="20"/>
  <c r="G1125" i="20"/>
  <c r="G1099" i="20"/>
  <c r="G1229" i="20"/>
  <c r="G1136" i="20"/>
  <c r="G1211" i="20"/>
  <c r="G1185" i="20"/>
  <c r="G1095" i="20"/>
  <c r="G1119" i="20"/>
  <c r="G1218" i="20"/>
  <c r="G1035" i="20"/>
  <c r="G1012" i="20"/>
  <c r="G996" i="20"/>
  <c r="G1138" i="20"/>
  <c r="G1010" i="20"/>
  <c r="G1133" i="20"/>
  <c r="G1108" i="20"/>
  <c r="G1208" i="20"/>
  <c r="G1029" i="20"/>
  <c r="G1024" i="20"/>
  <c r="G1105" i="20"/>
  <c r="G1215" i="20"/>
  <c r="G1093" i="20"/>
  <c r="G1186" i="20"/>
  <c r="G1006" i="20"/>
  <c r="G1175" i="20"/>
  <c r="G1011" i="20"/>
  <c r="G1193" i="20"/>
  <c r="G1183" i="20"/>
  <c r="G999" i="20"/>
  <c r="G1020" i="20"/>
  <c r="G1040" i="20"/>
  <c r="G1036" i="20"/>
  <c r="G1111" i="20"/>
  <c r="G1216" i="20"/>
  <c r="G1003" i="20"/>
  <c r="G1223" i="20"/>
  <c r="G1046" i="20"/>
  <c r="G1114" i="20"/>
  <c r="G1228" i="20"/>
  <c r="G1034" i="20"/>
  <c r="G1140" i="20"/>
  <c r="G1043" i="20"/>
  <c r="G1124" i="20"/>
  <c r="G995" i="20"/>
  <c r="H570" i="13" l="1"/>
  <c r="H536" i="13"/>
  <c r="M536" i="13" s="1"/>
  <c r="H533" i="13"/>
  <c r="M533" i="13" s="1"/>
  <c r="H584" i="13"/>
  <c r="H543" i="13"/>
  <c r="H558" i="13"/>
  <c r="H276" i="13"/>
  <c r="M276" i="13" s="1"/>
  <c r="H562" i="13"/>
  <c r="H582" i="13"/>
  <c r="H577" i="13"/>
  <c r="H575" i="13"/>
  <c r="H581" i="13"/>
  <c r="H550" i="13"/>
  <c r="J528" i="13"/>
  <c r="I561" i="13" s="1"/>
  <c r="H566" i="13"/>
  <c r="H571" i="13"/>
  <c r="H565" i="13"/>
  <c r="H563" i="13"/>
  <c r="H538" i="13"/>
  <c r="M538" i="13" s="1"/>
  <c r="H564" i="13"/>
  <c r="H587" i="13"/>
  <c r="H294" i="13"/>
  <c r="H580" i="13"/>
  <c r="H551" i="13"/>
  <c r="H579" i="13"/>
  <c r="H568" i="13"/>
  <c r="H560" i="13"/>
  <c r="H574" i="13"/>
  <c r="H557" i="13"/>
  <c r="H532" i="13"/>
  <c r="M532" i="13" s="1"/>
  <c r="H567" i="13"/>
  <c r="H576" i="13"/>
  <c r="H537" i="13"/>
  <c r="M537" i="13" s="1"/>
  <c r="H541" i="13"/>
  <c r="M541" i="13" s="1"/>
  <c r="H540" i="13"/>
  <c r="M540" i="13" s="1"/>
  <c r="H547" i="13"/>
  <c r="H535" i="13"/>
  <c r="M535" i="13" s="1"/>
  <c r="H585" i="13"/>
  <c r="H534" i="13"/>
  <c r="M534" i="13" s="1"/>
  <c r="H583" i="13"/>
  <c r="H539" i="13"/>
  <c r="M539" i="13" s="1"/>
  <c r="H573" i="13"/>
  <c r="H586" i="13"/>
  <c r="H572" i="13"/>
  <c r="H578" i="13"/>
  <c r="H554" i="13"/>
  <c r="H553" i="13"/>
  <c r="H546" i="13"/>
  <c r="H555" i="13"/>
  <c r="H561" i="13"/>
  <c r="H559" i="13"/>
  <c r="H569" i="13"/>
  <c r="H544" i="13"/>
  <c r="H556" i="13"/>
  <c r="H281" i="13"/>
  <c r="M281" i="13" s="1"/>
  <c r="H284" i="13"/>
  <c r="M284" i="13" s="1"/>
  <c r="H291" i="13"/>
  <c r="H314" i="13"/>
  <c r="H313" i="13"/>
  <c r="H277" i="13"/>
  <c r="M277" i="13" s="1"/>
  <c r="H299" i="13"/>
  <c r="H998" i="13"/>
  <c r="H963" i="13"/>
  <c r="H1014" i="13"/>
  <c r="H962" i="13"/>
  <c r="J958" i="13"/>
  <c r="I1014" i="13" s="1"/>
  <c r="H278" i="13"/>
  <c r="M278" i="13" s="1"/>
  <c r="H315" i="13"/>
  <c r="H307" i="13"/>
  <c r="H295" i="13"/>
  <c r="H289" i="13"/>
  <c r="H283" i="13"/>
  <c r="M283" i="13" s="1"/>
  <c r="H308" i="13"/>
  <c r="H312" i="13"/>
  <c r="H298" i="13"/>
  <c r="H316" i="13"/>
  <c r="H285" i="13"/>
  <c r="M285" i="13" s="1"/>
  <c r="H321" i="13"/>
  <c r="H322" i="13"/>
  <c r="H297" i="13"/>
  <c r="H306" i="13"/>
  <c r="H319" i="13"/>
  <c r="H288" i="13"/>
  <c r="H275" i="13"/>
  <c r="M275" i="13" s="1"/>
  <c r="H310" i="13"/>
  <c r="H274" i="13"/>
  <c r="M274" i="13" s="1"/>
  <c r="H302" i="13"/>
  <c r="J270" i="13"/>
  <c r="I275" i="13" s="1"/>
  <c r="H282" i="13"/>
  <c r="M282" i="13" s="1"/>
  <c r="H304" i="13"/>
  <c r="H309" i="13"/>
  <c r="H292" i="13"/>
  <c r="H318" i="13"/>
  <c r="H323" i="13"/>
  <c r="H279" i="13"/>
  <c r="M279" i="13" s="1"/>
  <c r="H286" i="13"/>
  <c r="H287" i="13"/>
  <c r="H311" i="13"/>
  <c r="H300" i="13"/>
  <c r="H296" i="13"/>
  <c r="H293" i="13"/>
  <c r="H317" i="13"/>
  <c r="H301" i="13"/>
  <c r="H305" i="13"/>
  <c r="H303" i="13"/>
  <c r="H320" i="13"/>
  <c r="H290" i="13"/>
  <c r="H1016" i="13"/>
  <c r="H975" i="13"/>
  <c r="H992" i="13"/>
  <c r="H1006" i="13"/>
  <c r="H966" i="13"/>
  <c r="M966" i="13" s="1"/>
  <c r="H976" i="13"/>
  <c r="H1011" i="13"/>
  <c r="H925" i="13"/>
  <c r="H588" i="13"/>
  <c r="H1185" i="13"/>
  <c r="H1233" i="13"/>
  <c r="H1144" i="13"/>
  <c r="H1171" i="13"/>
  <c r="H1138" i="13"/>
  <c r="M1138" i="13" s="1"/>
  <c r="H1271" i="13"/>
  <c r="H964" i="13"/>
  <c r="H977" i="13"/>
  <c r="H972" i="13"/>
  <c r="M972" i="13" s="1"/>
  <c r="H1262" i="13"/>
  <c r="H1274" i="13"/>
  <c r="H1236" i="13"/>
  <c r="J1130" i="13"/>
  <c r="I1143" i="13" s="1"/>
  <c r="H1165" i="13"/>
  <c r="H1183" i="13"/>
  <c r="H1018" i="13"/>
  <c r="H1003" i="13"/>
  <c r="H988" i="13"/>
  <c r="H990" i="13"/>
  <c r="H979" i="13"/>
  <c r="H1256" i="13"/>
  <c r="H1265" i="13"/>
  <c r="H1137" i="13"/>
  <c r="M1137" i="13" s="1"/>
  <c r="H1148" i="13"/>
  <c r="H1008" i="13"/>
  <c r="H1162" i="13"/>
  <c r="H1158" i="13"/>
  <c r="H1187" i="13"/>
  <c r="H1015" i="13"/>
  <c r="H994" i="13"/>
  <c r="H981" i="13"/>
  <c r="H1002" i="13"/>
  <c r="H1241" i="13"/>
  <c r="H980" i="13"/>
  <c r="H1154" i="13"/>
  <c r="H1180" i="13"/>
  <c r="H1173" i="13"/>
  <c r="H978" i="13"/>
  <c r="H987" i="13"/>
  <c r="H1007" i="13"/>
  <c r="H1004" i="13"/>
  <c r="H1251" i="13"/>
  <c r="H1237" i="13"/>
  <c r="H1160" i="13"/>
  <c r="H1184" i="13"/>
  <c r="H1178" i="13"/>
  <c r="H993" i="13"/>
  <c r="H1010" i="13"/>
  <c r="H973" i="13"/>
  <c r="M973" i="13" s="1"/>
  <c r="H983" i="13"/>
  <c r="H1231" i="13"/>
  <c r="H1268" i="13"/>
  <c r="H1188" i="13"/>
  <c r="H1189" i="13"/>
  <c r="H1146" i="13"/>
  <c r="H1005" i="13"/>
  <c r="H999" i="13"/>
  <c r="H1000" i="13"/>
  <c r="H1013" i="13"/>
  <c r="H1229" i="13"/>
  <c r="M1229" i="13" s="1"/>
  <c r="H1245" i="13"/>
  <c r="H1240" i="13"/>
  <c r="H1170" i="13"/>
  <c r="H1167" i="13"/>
  <c r="H989" i="13"/>
  <c r="H1001" i="13"/>
  <c r="H974" i="13"/>
  <c r="H1009" i="13"/>
  <c r="H1272" i="13"/>
  <c r="H1275" i="13"/>
  <c r="H1157" i="13"/>
  <c r="H1147" i="13"/>
  <c r="H985" i="13"/>
  <c r="H997" i="13"/>
  <c r="H1017" i="13"/>
  <c r="H995" i="13"/>
  <c r="H1259" i="13"/>
  <c r="H1242" i="13"/>
  <c r="H1168" i="13"/>
  <c r="H1186" i="13"/>
  <c r="H1135" i="13"/>
  <c r="M1135" i="13" s="1"/>
  <c r="H970" i="13"/>
  <c r="M970" i="13" s="1"/>
  <c r="H971" i="13"/>
  <c r="M971" i="13" s="1"/>
  <c r="H968" i="13"/>
  <c r="M968" i="13" s="1"/>
  <c r="H1012" i="13"/>
  <c r="H1261" i="13"/>
  <c r="H1228" i="13"/>
  <c r="M1228" i="13" s="1"/>
  <c r="H1152" i="13"/>
  <c r="H1176" i="13"/>
  <c r="H1145" i="13"/>
  <c r="H996" i="13"/>
  <c r="H965" i="13"/>
  <c r="M965" i="13" s="1"/>
  <c r="H967" i="13"/>
  <c r="M967" i="13" s="1"/>
  <c r="H991" i="13"/>
  <c r="H1250" i="13"/>
  <c r="H1260" i="13"/>
  <c r="H1190" i="13"/>
  <c r="H1182" i="13"/>
  <c r="H1163" i="13"/>
  <c r="H969" i="13"/>
  <c r="M969" i="13" s="1"/>
  <c r="H984" i="13"/>
  <c r="H982" i="13"/>
  <c r="H1227" i="13"/>
  <c r="M1227" i="13" s="1"/>
  <c r="H1247" i="13"/>
  <c r="H1238" i="13"/>
  <c r="H1224" i="13"/>
  <c r="M1224" i="13" s="1"/>
  <c r="H1141" i="13"/>
  <c r="M1141" i="13" s="1"/>
  <c r="H1172" i="13"/>
  <c r="H1151" i="13"/>
  <c r="H1181" i="13"/>
  <c r="J1217" i="13"/>
  <c r="I1243" i="13" s="1"/>
  <c r="H1223" i="13"/>
  <c r="M1223" i="13" s="1"/>
  <c r="H1246" i="13"/>
  <c r="H1225" i="13"/>
  <c r="M1225" i="13" s="1"/>
  <c r="H915" i="13"/>
  <c r="H888" i="13"/>
  <c r="H1142" i="13"/>
  <c r="H1179" i="13"/>
  <c r="H1140" i="13"/>
  <c r="M1140" i="13" s="1"/>
  <c r="H1175" i="13"/>
  <c r="H1244" i="13"/>
  <c r="H1257" i="13"/>
  <c r="H1249" i="13"/>
  <c r="H1221" i="13"/>
  <c r="H916" i="13"/>
  <c r="H1258" i="13"/>
  <c r="H1276" i="13"/>
  <c r="H1164" i="13"/>
  <c r="H1177" i="13"/>
  <c r="H1139" i="13"/>
  <c r="M1139" i="13" s="1"/>
  <c r="H1155" i="13"/>
  <c r="H1253" i="13"/>
  <c r="H1254" i="13"/>
  <c r="H1269" i="13"/>
  <c r="H1263" i="13"/>
  <c r="H886" i="13"/>
  <c r="H1252" i="13"/>
  <c r="H1169" i="13"/>
  <c r="H1134" i="13"/>
  <c r="M1134" i="13" s="1"/>
  <c r="H1159" i="13"/>
  <c r="H1136" i="13"/>
  <c r="M1136" i="13" s="1"/>
  <c r="H1239" i="13"/>
  <c r="H1243" i="13"/>
  <c r="H1226" i="13"/>
  <c r="M1226" i="13" s="1"/>
  <c r="H1234" i="13"/>
  <c r="H1248" i="13"/>
  <c r="H1273" i="13"/>
  <c r="H1191" i="13"/>
  <c r="H1153" i="13"/>
  <c r="H1161" i="13"/>
  <c r="H1156" i="13"/>
  <c r="H1149" i="13"/>
  <c r="H1222" i="13"/>
  <c r="H1277" i="13"/>
  <c r="H1230" i="13"/>
  <c r="H1270" i="13"/>
  <c r="H1232" i="13"/>
  <c r="H1266" i="13"/>
  <c r="H1143" i="13"/>
  <c r="H1166" i="13"/>
  <c r="H1174" i="13"/>
  <c r="H1255" i="13"/>
  <c r="H1235" i="13"/>
  <c r="H1264" i="13"/>
  <c r="H842" i="13"/>
  <c r="H930" i="13"/>
  <c r="H791" i="13"/>
  <c r="M791" i="13" s="1"/>
  <c r="H901" i="13"/>
  <c r="H924" i="13"/>
  <c r="H800" i="13"/>
  <c r="M800" i="13" s="1"/>
  <c r="H882" i="13"/>
  <c r="M882" i="13" s="1"/>
  <c r="J872" i="13"/>
  <c r="I910" i="13" s="1"/>
  <c r="H810" i="13"/>
  <c r="H895" i="13"/>
  <c r="H906" i="13"/>
  <c r="H815" i="13"/>
  <c r="H931" i="13"/>
  <c r="H897" i="13"/>
  <c r="H889" i="13"/>
  <c r="H877" i="13"/>
  <c r="M877" i="13" s="1"/>
  <c r="H887" i="13"/>
  <c r="H883" i="13"/>
  <c r="M883" i="13" s="1"/>
  <c r="H792" i="13"/>
  <c r="M792" i="13" s="1"/>
  <c r="H793" i="13"/>
  <c r="M793" i="13" s="1"/>
  <c r="H885" i="13"/>
  <c r="M885" i="13" s="1"/>
  <c r="H891" i="13"/>
  <c r="H927" i="13"/>
  <c r="H845" i="13"/>
  <c r="H876" i="13"/>
  <c r="M876" i="13" s="1"/>
  <c r="H918" i="13"/>
  <c r="H841" i="13"/>
  <c r="H881" i="13"/>
  <c r="M881" i="13" s="1"/>
  <c r="H917" i="13"/>
  <c r="H825" i="13"/>
  <c r="H836" i="13"/>
  <c r="H890" i="13"/>
  <c r="H912" i="13"/>
  <c r="H926" i="13"/>
  <c r="H794" i="13"/>
  <c r="M794" i="13" s="1"/>
  <c r="H878" i="13"/>
  <c r="M878" i="13" s="1"/>
  <c r="H910" i="13"/>
  <c r="H802" i="13"/>
  <c r="H804" i="13"/>
  <c r="H631" i="13"/>
  <c r="H651" i="13"/>
  <c r="H809" i="13"/>
  <c r="H838" i="13"/>
  <c r="H807" i="13"/>
  <c r="H833" i="13"/>
  <c r="H812" i="13"/>
  <c r="H846" i="13"/>
  <c r="H801" i="13"/>
  <c r="M801" i="13" s="1"/>
  <c r="H795" i="13"/>
  <c r="M795" i="13" s="1"/>
  <c r="H824" i="13"/>
  <c r="H840" i="13"/>
  <c r="H822" i="13"/>
  <c r="H811" i="13"/>
  <c r="H820" i="13"/>
  <c r="H829" i="13"/>
  <c r="H1019" i="13"/>
  <c r="H907" i="13"/>
  <c r="H914" i="13"/>
  <c r="H896" i="13"/>
  <c r="H903" i="13"/>
  <c r="H923" i="13"/>
  <c r="H902" i="13"/>
  <c r="H929" i="13"/>
  <c r="H921" i="13"/>
  <c r="H911" i="13"/>
  <c r="H879" i="13"/>
  <c r="M879" i="13" s="1"/>
  <c r="H919" i="13"/>
  <c r="H899" i="13"/>
  <c r="H932" i="13"/>
  <c r="H928" i="13"/>
  <c r="H893" i="13"/>
  <c r="H900" i="13"/>
  <c r="H909" i="13"/>
  <c r="H892" i="13"/>
  <c r="H128" i="13"/>
  <c r="H324" i="13"/>
  <c r="H649" i="13"/>
  <c r="H102" i="13"/>
  <c r="H117" i="13"/>
  <c r="M117" i="13" s="1"/>
  <c r="H632" i="13"/>
  <c r="H656" i="13"/>
  <c r="H650" i="13"/>
  <c r="H114" i="13"/>
  <c r="M114" i="13" s="1"/>
  <c r="H673" i="13"/>
  <c r="H1278" i="13"/>
  <c r="H847" i="13"/>
  <c r="H140" i="13"/>
  <c r="H675" i="13"/>
  <c r="J98" i="13"/>
  <c r="I151" i="13" s="1"/>
  <c r="H667" i="13"/>
  <c r="H657" i="13"/>
  <c r="H806" i="13"/>
  <c r="H826" i="13"/>
  <c r="H817" i="13"/>
  <c r="H155" i="13"/>
  <c r="H618" i="13"/>
  <c r="M618" i="13" s="1"/>
  <c r="H635" i="13"/>
  <c r="H150" i="13"/>
  <c r="H658" i="13"/>
  <c r="H622" i="13"/>
  <c r="M622" i="13" s="1"/>
  <c r="H797" i="13"/>
  <c r="M797" i="13" s="1"/>
  <c r="H790" i="13"/>
  <c r="M790" i="13" s="1"/>
  <c r="H816" i="13"/>
  <c r="H103" i="13"/>
  <c r="M103" i="13" s="1"/>
  <c r="H645" i="13"/>
  <c r="H639" i="13"/>
  <c r="H819" i="13"/>
  <c r="H805" i="13"/>
  <c r="H828" i="13"/>
  <c r="H108" i="13"/>
  <c r="M108" i="13" s="1"/>
  <c r="H126" i="13"/>
  <c r="H633" i="13"/>
  <c r="H799" i="13"/>
  <c r="M799" i="13" s="1"/>
  <c r="H830" i="13"/>
  <c r="H813" i="13"/>
  <c r="H843" i="13"/>
  <c r="H142" i="13"/>
  <c r="H664" i="13"/>
  <c r="H827" i="13"/>
  <c r="H814" i="13"/>
  <c r="H798" i="13"/>
  <c r="M798" i="13" s="1"/>
  <c r="H835" i="13"/>
  <c r="H152" i="13"/>
  <c r="H110" i="13"/>
  <c r="M110" i="13" s="1"/>
  <c r="H629" i="13"/>
  <c r="H808" i="13"/>
  <c r="H844" i="13"/>
  <c r="H823" i="13"/>
  <c r="H837" i="13"/>
  <c r="H626" i="13"/>
  <c r="M626" i="13" s="1"/>
  <c r="H137" i="13"/>
  <c r="H132" i="13"/>
  <c r="H628" i="13"/>
  <c r="H821" i="13"/>
  <c r="H834" i="13"/>
  <c r="H832" i="13"/>
  <c r="H818" i="13"/>
  <c r="H745" i="13"/>
  <c r="H710" i="13"/>
  <c r="M710" i="13" s="1"/>
  <c r="H904" i="13"/>
  <c r="H922" i="13"/>
  <c r="H1078" i="13"/>
  <c r="H153" i="13"/>
  <c r="H146" i="13"/>
  <c r="H125" i="13"/>
  <c r="H133" i="13"/>
  <c r="H621" i="13"/>
  <c r="M621" i="13" s="1"/>
  <c r="H637" i="13"/>
  <c r="H672" i="13"/>
  <c r="H630" i="13"/>
  <c r="H732" i="13"/>
  <c r="H752" i="13"/>
  <c r="H113" i="13"/>
  <c r="M113" i="13" s="1"/>
  <c r="H1085" i="13"/>
  <c r="H634" i="13"/>
  <c r="H625" i="13"/>
  <c r="M625" i="13" s="1"/>
  <c r="H627" i="13"/>
  <c r="M627" i="13" s="1"/>
  <c r="H666" i="13"/>
  <c r="H715" i="13"/>
  <c r="H748" i="13"/>
  <c r="H736" i="13"/>
  <c r="H131" i="13"/>
  <c r="H143" i="13"/>
  <c r="H134" i="13"/>
  <c r="H145" i="13"/>
  <c r="H144" i="13"/>
  <c r="H671" i="13"/>
  <c r="H653" i="13"/>
  <c r="H670" i="13"/>
  <c r="H624" i="13"/>
  <c r="M624" i="13" s="1"/>
  <c r="H744" i="13"/>
  <c r="H753" i="13"/>
  <c r="H729" i="13"/>
  <c r="H121" i="13"/>
  <c r="H154" i="13"/>
  <c r="H106" i="13"/>
  <c r="M106" i="13" s="1"/>
  <c r="H115" i="13"/>
  <c r="M115" i="13" s="1"/>
  <c r="H109" i="13"/>
  <c r="M109" i="13" s="1"/>
  <c r="H130" i="13"/>
  <c r="H655" i="13"/>
  <c r="H647" i="13"/>
  <c r="H642" i="13"/>
  <c r="H641" i="13"/>
  <c r="H718" i="13"/>
  <c r="H759" i="13"/>
  <c r="H722" i="13"/>
  <c r="H706" i="13"/>
  <c r="M706" i="13" s="1"/>
  <c r="H721" i="13"/>
  <c r="H711" i="13"/>
  <c r="M711" i="13" s="1"/>
  <c r="H740" i="13"/>
  <c r="H728" i="13"/>
  <c r="H713" i="13"/>
  <c r="M713" i="13" s="1"/>
  <c r="H755" i="13"/>
  <c r="H733" i="13"/>
  <c r="H730" i="13"/>
  <c r="H111" i="13"/>
  <c r="M111" i="13" s="1"/>
  <c r="H123" i="13"/>
  <c r="H122" i="13"/>
  <c r="H141" i="13"/>
  <c r="H129" i="13"/>
  <c r="H620" i="13"/>
  <c r="M620" i="13" s="1"/>
  <c r="H659" i="13"/>
  <c r="H636" i="13"/>
  <c r="J614" i="13"/>
  <c r="I656" i="13" s="1"/>
  <c r="H741" i="13"/>
  <c r="H746" i="13"/>
  <c r="H116" i="13"/>
  <c r="M116" i="13" s="1"/>
  <c r="H147" i="13"/>
  <c r="H124" i="13"/>
  <c r="H104" i="13"/>
  <c r="M104" i="13" s="1"/>
  <c r="H136" i="13"/>
  <c r="H118" i="13"/>
  <c r="M118" i="13" s="1"/>
  <c r="H654" i="13"/>
  <c r="H652" i="13"/>
  <c r="H638" i="13"/>
  <c r="H640" i="13"/>
  <c r="H714" i="13"/>
  <c r="M714" i="13" s="1"/>
  <c r="H716" i="13"/>
  <c r="H148" i="13"/>
  <c r="H669" i="13"/>
  <c r="H619" i="13"/>
  <c r="M619" i="13" s="1"/>
  <c r="H648" i="13"/>
  <c r="H735" i="13"/>
  <c r="H747" i="13"/>
  <c r="H127" i="13"/>
  <c r="H157" i="13"/>
  <c r="H105" i="13"/>
  <c r="M105" i="13" s="1"/>
  <c r="H158" i="13"/>
  <c r="H646" i="13"/>
  <c r="H643" i="13"/>
  <c r="H674" i="13"/>
  <c r="H737" i="13"/>
  <c r="H707" i="13"/>
  <c r="M707" i="13" s="1"/>
  <c r="H112" i="13"/>
  <c r="M112" i="13" s="1"/>
  <c r="H151" i="13"/>
  <c r="H120" i="13"/>
  <c r="H156" i="13"/>
  <c r="H119" i="13"/>
  <c r="M119" i="13" s="1"/>
  <c r="H135" i="13"/>
  <c r="H139" i="13"/>
  <c r="H149" i="13"/>
  <c r="H138" i="13"/>
  <c r="H662" i="13"/>
  <c r="H665" i="13"/>
  <c r="H660" i="13"/>
  <c r="H880" i="13"/>
  <c r="M880" i="13" s="1"/>
  <c r="H884" i="13"/>
  <c r="M884" i="13" s="1"/>
  <c r="H920" i="13"/>
  <c r="H905" i="13"/>
  <c r="H756" i="13"/>
  <c r="H742" i="13"/>
  <c r="H731" i="13"/>
  <c r="H758" i="13"/>
  <c r="H663" i="13"/>
  <c r="H644" i="13"/>
  <c r="H661" i="13"/>
  <c r="H668" i="13"/>
  <c r="J786" i="13"/>
  <c r="I836" i="13" s="1"/>
  <c r="H796" i="13"/>
  <c r="M796" i="13" s="1"/>
  <c r="H839" i="13"/>
  <c r="H803" i="13"/>
  <c r="H908" i="13"/>
  <c r="H894" i="13"/>
  <c r="H913" i="13"/>
  <c r="H720" i="13"/>
  <c r="H743" i="13"/>
  <c r="H413" i="13"/>
  <c r="H360" i="13"/>
  <c r="M360" i="13" s="1"/>
  <c r="H159" i="13"/>
  <c r="H369" i="13"/>
  <c r="M369" i="13" s="1"/>
  <c r="H374" i="13"/>
  <c r="H383" i="13"/>
  <c r="H381" i="13"/>
  <c r="H933" i="13"/>
  <c r="H390" i="13"/>
  <c r="H416" i="13"/>
  <c r="H401" i="13"/>
  <c r="H719" i="13"/>
  <c r="H727" i="13"/>
  <c r="H717" i="13"/>
  <c r="H761" i="13"/>
  <c r="H1062" i="13"/>
  <c r="H1067" i="13"/>
  <c r="H1103" i="13"/>
  <c r="H1060" i="13"/>
  <c r="H1053" i="13"/>
  <c r="M1053" i="13" s="1"/>
  <c r="H1072" i="13"/>
  <c r="H1061" i="13"/>
  <c r="H1084" i="13"/>
  <c r="H1056" i="13"/>
  <c r="M1056" i="13" s="1"/>
  <c r="H1050" i="13"/>
  <c r="M1050" i="13" s="1"/>
  <c r="J1044" i="13"/>
  <c r="I1100" i="13" s="1"/>
  <c r="H1082" i="13"/>
  <c r="H478" i="13"/>
  <c r="H469" i="13"/>
  <c r="H462" i="13"/>
  <c r="H226" i="13"/>
  <c r="H188" i="13"/>
  <c r="H725" i="13"/>
  <c r="H712" i="13"/>
  <c r="M712" i="13" s="1"/>
  <c r="H726" i="13"/>
  <c r="H489" i="13"/>
  <c r="H482" i="13"/>
  <c r="H387" i="13"/>
  <c r="H362" i="13"/>
  <c r="M362" i="13" s="1"/>
  <c r="H497" i="13"/>
  <c r="H463" i="13"/>
  <c r="H415" i="13"/>
  <c r="H386" i="13"/>
  <c r="H452" i="13"/>
  <c r="M452" i="13" s="1"/>
  <c r="H404" i="13"/>
  <c r="J356" i="13"/>
  <c r="I387" i="13" s="1"/>
  <c r="H475" i="13"/>
  <c r="H391" i="13"/>
  <c r="H468" i="13"/>
  <c r="H407" i="13"/>
  <c r="H495" i="13"/>
  <c r="H365" i="13"/>
  <c r="M365" i="13" s="1"/>
  <c r="H402" i="13"/>
  <c r="H455" i="13"/>
  <c r="M455" i="13" s="1"/>
  <c r="H393" i="13"/>
  <c r="H384" i="13"/>
  <c r="H465" i="13"/>
  <c r="H494" i="13"/>
  <c r="H394" i="13"/>
  <c r="H411" i="13"/>
  <c r="H487" i="13"/>
  <c r="H447" i="13"/>
  <c r="M447" i="13" s="1"/>
  <c r="H449" i="13"/>
  <c r="M449" i="13" s="1"/>
  <c r="H389" i="13"/>
  <c r="H367" i="13"/>
  <c r="M367" i="13" s="1"/>
  <c r="H754" i="13"/>
  <c r="H739" i="13"/>
  <c r="H734" i="13"/>
  <c r="H757" i="13"/>
  <c r="H220" i="13"/>
  <c r="H1098" i="13"/>
  <c r="H1090" i="13"/>
  <c r="H490" i="13"/>
  <c r="H472" i="13"/>
  <c r="H451" i="13"/>
  <c r="M451" i="13" s="1"/>
  <c r="H474" i="13"/>
  <c r="H196" i="13"/>
  <c r="M196" i="13" s="1"/>
  <c r="H1088" i="13"/>
  <c r="H1071" i="13"/>
  <c r="H1094" i="13"/>
  <c r="H1104" i="13"/>
  <c r="H461" i="13"/>
  <c r="H501" i="13"/>
  <c r="H481" i="13"/>
  <c r="H498" i="13"/>
  <c r="H363" i="13"/>
  <c r="M363" i="13" s="1"/>
  <c r="H372" i="13"/>
  <c r="H405" i="13"/>
  <c r="H385" i="13"/>
  <c r="H1095" i="13"/>
  <c r="H480" i="13"/>
  <c r="H448" i="13"/>
  <c r="M448" i="13" s="1"/>
  <c r="H414" i="13"/>
  <c r="H412" i="13"/>
  <c r="H361" i="13"/>
  <c r="M361" i="13" s="1"/>
  <c r="H368" i="13"/>
  <c r="M368" i="13" s="1"/>
  <c r="H200" i="13"/>
  <c r="M200" i="13" s="1"/>
  <c r="H1089" i="13"/>
  <c r="H1081" i="13"/>
  <c r="H1087" i="13"/>
  <c r="H1066" i="13"/>
  <c r="H496" i="13"/>
  <c r="H477" i="13"/>
  <c r="H488" i="13"/>
  <c r="H458" i="13"/>
  <c r="H403" i="13"/>
  <c r="H380" i="13"/>
  <c r="H408" i="13"/>
  <c r="H377" i="13"/>
  <c r="H705" i="13"/>
  <c r="M705" i="13" s="1"/>
  <c r="H704" i="13"/>
  <c r="M704" i="13" s="1"/>
  <c r="H750" i="13"/>
  <c r="H502" i="13"/>
  <c r="H486" i="13"/>
  <c r="H221" i="13"/>
  <c r="H1074" i="13"/>
  <c r="H1091" i="13"/>
  <c r="H1079" i="13"/>
  <c r="H1101" i="13"/>
  <c r="H410" i="13"/>
  <c r="H231" i="13"/>
  <c r="H1075" i="13"/>
  <c r="H1069" i="13"/>
  <c r="H1092" i="13"/>
  <c r="H1051" i="13"/>
  <c r="M1051" i="13" s="1"/>
  <c r="H499" i="13"/>
  <c r="H485" i="13"/>
  <c r="H450" i="13"/>
  <c r="M450" i="13" s="1"/>
  <c r="H464" i="13"/>
  <c r="H399" i="13"/>
  <c r="H364" i="13"/>
  <c r="M364" i="13" s="1"/>
  <c r="H371" i="13"/>
  <c r="M371" i="13" s="1"/>
  <c r="H397" i="13"/>
  <c r="H738" i="13"/>
  <c r="H760" i="13"/>
  <c r="H751" i="13"/>
  <c r="H708" i="13"/>
  <c r="M708" i="13" s="1"/>
  <c r="H224" i="13"/>
  <c r="H1052" i="13"/>
  <c r="M1052" i="13" s="1"/>
  <c r="H471" i="13"/>
  <c r="H241" i="13"/>
  <c r="H1063" i="13"/>
  <c r="H1077" i="13"/>
  <c r="H1096" i="13"/>
  <c r="H1070" i="13"/>
  <c r="H493" i="13"/>
  <c r="H467" i="13"/>
  <c r="H476" i="13"/>
  <c r="H500" i="13"/>
  <c r="H388" i="13"/>
  <c r="H398" i="13"/>
  <c r="H382" i="13"/>
  <c r="H395" i="13"/>
  <c r="H218" i="13"/>
  <c r="H240" i="13"/>
  <c r="H1086" i="13"/>
  <c r="H1058" i="13"/>
  <c r="H1097" i="13"/>
  <c r="H1057" i="13"/>
  <c r="H1048" i="13"/>
  <c r="H378" i="13"/>
  <c r="H370" i="13"/>
  <c r="M370" i="13" s="1"/>
  <c r="H373" i="13"/>
  <c r="H366" i="13"/>
  <c r="M366" i="13" s="1"/>
  <c r="H214" i="13"/>
  <c r="H210" i="13"/>
  <c r="H1076" i="13"/>
  <c r="H1073" i="13"/>
  <c r="H1100" i="13"/>
  <c r="H1099" i="13"/>
  <c r="H492" i="13"/>
  <c r="H459" i="13"/>
  <c r="H479" i="13"/>
  <c r="J442" i="13"/>
  <c r="I488" i="13" s="1"/>
  <c r="H376" i="13"/>
  <c r="H396" i="13"/>
  <c r="H379" i="13"/>
  <c r="H400" i="13"/>
  <c r="H206" i="13"/>
  <c r="H233" i="13"/>
  <c r="H1054" i="13"/>
  <c r="M1054" i="13" s="1"/>
  <c r="H1080" i="13"/>
  <c r="H1059" i="13"/>
  <c r="H1064" i="13"/>
  <c r="H470" i="13"/>
  <c r="H460" i="13"/>
  <c r="H484" i="13"/>
  <c r="H466" i="13"/>
  <c r="H232" i="13"/>
  <c r="H207" i="13"/>
  <c r="H1055" i="13"/>
  <c r="M1055" i="13" s="1"/>
  <c r="H1049" i="13"/>
  <c r="M1049" i="13" s="1"/>
  <c r="H1068" i="13"/>
  <c r="H453" i="13"/>
  <c r="M453" i="13" s="1"/>
  <c r="H483" i="13"/>
  <c r="H456" i="13"/>
  <c r="M456" i="13" s="1"/>
  <c r="H473" i="13"/>
  <c r="H219" i="13"/>
  <c r="H230" i="13"/>
  <c r="H1065" i="13"/>
  <c r="H1102" i="13"/>
  <c r="H1093" i="13"/>
  <c r="H454" i="13"/>
  <c r="M454" i="13" s="1"/>
  <c r="H446" i="13"/>
  <c r="M446" i="13" s="1"/>
  <c r="H491" i="13"/>
  <c r="H409" i="13"/>
  <c r="H406" i="13"/>
  <c r="H392" i="13"/>
  <c r="H709" i="13"/>
  <c r="M709" i="13" s="1"/>
  <c r="H723" i="13"/>
  <c r="H749" i="13"/>
  <c r="H724" i="13"/>
  <c r="H417" i="13"/>
  <c r="H239" i="13"/>
  <c r="H237" i="13"/>
  <c r="H236" i="13"/>
  <c r="H189" i="13"/>
  <c r="M189" i="13" s="1"/>
  <c r="H211" i="13"/>
  <c r="H227" i="13"/>
  <c r="H194" i="13"/>
  <c r="M194" i="13" s="1"/>
  <c r="H229" i="13"/>
  <c r="J184" i="13"/>
  <c r="I214" i="13" s="1"/>
  <c r="H225" i="13"/>
  <c r="H213" i="13"/>
  <c r="H202" i="13"/>
  <c r="M202" i="13" s="1"/>
  <c r="H215" i="13"/>
  <c r="H238" i="13"/>
  <c r="H195" i="13"/>
  <c r="M195" i="13" s="1"/>
  <c r="H217" i="13"/>
  <c r="H205" i="13"/>
  <c r="H203" i="13"/>
  <c r="H201" i="13"/>
  <c r="M201" i="13" s="1"/>
  <c r="H222" i="13"/>
  <c r="H190" i="13"/>
  <c r="M190" i="13" s="1"/>
  <c r="H212" i="13"/>
  <c r="H216" i="13"/>
  <c r="H244" i="13"/>
  <c r="H199" i="13"/>
  <c r="M199" i="13" s="1"/>
  <c r="H228" i="13"/>
  <c r="H204" i="13"/>
  <c r="H245" i="13"/>
  <c r="H198" i="13"/>
  <c r="M198" i="13" s="1"/>
  <c r="H197" i="13"/>
  <c r="M197" i="13" s="1"/>
  <c r="H234" i="13"/>
  <c r="H223" i="13"/>
  <c r="H192" i="13"/>
  <c r="M192" i="13" s="1"/>
  <c r="H235" i="13"/>
  <c r="H208" i="13"/>
  <c r="H242" i="13"/>
  <c r="H193" i="13"/>
  <c r="M193" i="13" s="1"/>
  <c r="H243" i="13"/>
  <c r="H209" i="13"/>
  <c r="H1105" i="13"/>
  <c r="G1358" i="13"/>
  <c r="H1358" i="13" s="1"/>
  <c r="G1020" i="13"/>
  <c r="H1020" i="13" s="1"/>
  <c r="G676" i="13"/>
  <c r="H676" i="13" s="1"/>
  <c r="G1192" i="13"/>
  <c r="H1192" i="13" s="1"/>
  <c r="G589" i="13"/>
  <c r="H589" i="13" s="1"/>
  <c r="G160" i="13"/>
  <c r="H160" i="13" s="1"/>
  <c r="G325" i="13"/>
  <c r="H325" i="13" s="1"/>
  <c r="G246" i="13"/>
  <c r="H246" i="13" s="1"/>
  <c r="G1279" i="13"/>
  <c r="H1279" i="13" s="1"/>
  <c r="G1106" i="13"/>
  <c r="H1106" i="13" s="1"/>
  <c r="E419" i="13"/>
  <c r="E420" i="13" s="1"/>
  <c r="G848" i="13"/>
  <c r="H848" i="13" s="1"/>
  <c r="E849" i="13"/>
  <c r="E850" i="13" s="1"/>
  <c r="E1280" i="13"/>
  <c r="E1281" i="13" s="1"/>
  <c r="G503" i="13"/>
  <c r="H503" i="13" s="1"/>
  <c r="E504" i="13"/>
  <c r="F504" i="13" s="1"/>
  <c r="D505" i="13" s="1"/>
  <c r="E1359" i="13"/>
  <c r="F1359" i="13" s="1"/>
  <c r="D1360" i="13" s="1"/>
  <c r="E1193" i="13"/>
  <c r="E1194" i="13" s="1"/>
  <c r="E590" i="13"/>
  <c r="F590" i="13" s="1"/>
  <c r="D591" i="13" s="1"/>
  <c r="E1021" i="13"/>
  <c r="E1022" i="13" s="1"/>
  <c r="E677" i="13"/>
  <c r="E678" i="13" s="1"/>
  <c r="E247" i="13"/>
  <c r="E248" i="13" s="1"/>
  <c r="G934" i="13"/>
  <c r="H934" i="13" s="1"/>
  <c r="E935" i="13"/>
  <c r="E936" i="13" s="1"/>
  <c r="E161" i="13"/>
  <c r="E162" i="13" s="1"/>
  <c r="E1107" i="13"/>
  <c r="E1108" i="13" s="1"/>
  <c r="G762" i="13"/>
  <c r="H762" i="13" s="1"/>
  <c r="E763" i="13"/>
  <c r="E764" i="13" s="1"/>
  <c r="E326" i="13"/>
  <c r="F326" i="13" s="1"/>
  <c r="D327" i="13" s="1"/>
  <c r="G418" i="13"/>
  <c r="H418" i="13" s="1"/>
  <c r="G786" i="20"/>
  <c r="G1053" i="20"/>
  <c r="G252" i="20"/>
  <c r="H958" i="20"/>
  <c r="I958" i="20" s="1"/>
  <c r="H959" i="20"/>
  <c r="I959" i="20" s="1"/>
  <c r="H907" i="20"/>
  <c r="I907" i="20" s="1"/>
  <c r="H905" i="20"/>
  <c r="I905" i="20" s="1"/>
  <c r="H928" i="20"/>
  <c r="I928" i="20" s="1"/>
  <c r="H954" i="20"/>
  <c r="I954" i="20" s="1"/>
  <c r="H948" i="20"/>
  <c r="I948" i="20" s="1"/>
  <c r="H938" i="20"/>
  <c r="I938" i="20" s="1"/>
  <c r="H949" i="20"/>
  <c r="I949" i="20" s="1"/>
  <c r="H960" i="20"/>
  <c r="I960" i="20" s="1"/>
  <c r="H951" i="20"/>
  <c r="I951" i="20" s="1"/>
  <c r="H919" i="20"/>
  <c r="I919" i="20" s="1"/>
  <c r="H915" i="20"/>
  <c r="I915" i="20" s="1"/>
  <c r="H939" i="20"/>
  <c r="I939" i="20" s="1"/>
  <c r="H933" i="20"/>
  <c r="I933" i="20" s="1"/>
  <c r="H937" i="20"/>
  <c r="I937" i="20" s="1"/>
  <c r="H914" i="20"/>
  <c r="I914" i="20" s="1"/>
  <c r="H961" i="20"/>
  <c r="I961" i="20" s="1"/>
  <c r="H912" i="20"/>
  <c r="I912" i="20" s="1"/>
  <c r="H927" i="20"/>
  <c r="I927" i="20" s="1"/>
  <c r="H957" i="20"/>
  <c r="I957" i="20" s="1"/>
  <c r="H921" i="20"/>
  <c r="I921" i="20" s="1"/>
  <c r="H955" i="20"/>
  <c r="I955" i="20" s="1"/>
  <c r="H947" i="20"/>
  <c r="I947" i="20" s="1"/>
  <c r="H935" i="20"/>
  <c r="I935" i="20" s="1"/>
  <c r="H941" i="20"/>
  <c r="I941" i="20" s="1"/>
  <c r="H953" i="20"/>
  <c r="I953" i="20" s="1"/>
  <c r="H930" i="20"/>
  <c r="I930" i="20" s="1"/>
  <c r="H932" i="20"/>
  <c r="I932" i="20" s="1"/>
  <c r="H918" i="20"/>
  <c r="I918" i="20" s="1"/>
  <c r="H929" i="20"/>
  <c r="I929" i="20" s="1"/>
  <c r="H934" i="20"/>
  <c r="I934" i="20" s="1"/>
  <c r="H945" i="20"/>
  <c r="I945" i="20" s="1"/>
  <c r="H925" i="20"/>
  <c r="I925" i="20" s="1"/>
  <c r="H946" i="20"/>
  <c r="I946" i="20" s="1"/>
  <c r="H916" i="20"/>
  <c r="I916" i="20" s="1"/>
  <c r="H917" i="20"/>
  <c r="I917" i="20" s="1"/>
  <c r="H944" i="20"/>
  <c r="I944" i="20" s="1"/>
  <c r="H956" i="20"/>
  <c r="I956" i="20" s="1"/>
  <c r="H920" i="20"/>
  <c r="I920" i="20" s="1"/>
  <c r="H923" i="20"/>
  <c r="I923" i="20" s="1"/>
  <c r="H943" i="20"/>
  <c r="I943" i="20" s="1"/>
  <c r="H940" i="20"/>
  <c r="I940" i="20" s="1"/>
  <c r="H922" i="20"/>
  <c r="I922" i="20" s="1"/>
  <c r="H909" i="20"/>
  <c r="I909" i="20" s="1"/>
  <c r="H908" i="20"/>
  <c r="I908" i="20" s="1"/>
  <c r="H924" i="20"/>
  <c r="I924" i="20" s="1"/>
  <c r="H926" i="20"/>
  <c r="I926" i="20" s="1"/>
  <c r="H904" i="20"/>
  <c r="H936" i="20"/>
  <c r="I936" i="20" s="1"/>
  <c r="H906" i="20"/>
  <c r="H931" i="20"/>
  <c r="I931" i="20" s="1"/>
  <c r="H913" i="20"/>
  <c r="I913" i="20" s="1"/>
  <c r="H911" i="20"/>
  <c r="I911" i="20" s="1"/>
  <c r="H963" i="20"/>
  <c r="I963" i="20" s="1"/>
  <c r="H910" i="20"/>
  <c r="I910" i="20" s="1"/>
  <c r="H942" i="20"/>
  <c r="I942" i="20" s="1"/>
  <c r="H950" i="20"/>
  <c r="I950" i="20" s="1"/>
  <c r="H952" i="20"/>
  <c r="I952" i="20" s="1"/>
  <c r="H962" i="20"/>
  <c r="I962" i="20" s="1"/>
  <c r="I1341" i="13"/>
  <c r="J1341" i="13" s="1"/>
  <c r="I1312" i="13"/>
  <c r="I1354" i="13"/>
  <c r="J1354" i="13" s="1"/>
  <c r="I1314" i="13"/>
  <c r="I1322" i="13"/>
  <c r="J1322" i="13" s="1"/>
  <c r="I1325" i="13"/>
  <c r="J1325" i="13" s="1"/>
  <c r="I1335" i="13"/>
  <c r="J1335" i="13" s="1"/>
  <c r="I1339" i="13"/>
  <c r="J1339" i="13" s="1"/>
  <c r="I1332" i="13"/>
  <c r="J1332" i="13" s="1"/>
  <c r="I1357" i="13"/>
  <c r="J1357" i="13" s="1"/>
  <c r="I1313" i="13"/>
  <c r="I1331" i="13"/>
  <c r="J1331" i="13" s="1"/>
  <c r="I1347" i="13"/>
  <c r="J1347" i="13" s="1"/>
  <c r="I1348" i="13"/>
  <c r="J1348" i="13" s="1"/>
  <c r="I1351" i="13"/>
  <c r="J1351" i="13" s="1"/>
  <c r="I1355" i="13"/>
  <c r="J1355" i="13" s="1"/>
  <c r="I1338" i="13"/>
  <c r="J1338" i="13" s="1"/>
  <c r="I1344" i="13"/>
  <c r="J1344" i="13" s="1"/>
  <c r="I1311" i="13"/>
  <c r="I1317" i="13"/>
  <c r="J1317" i="13" s="1"/>
  <c r="I1320" i="13"/>
  <c r="J1320" i="13" s="1"/>
  <c r="I1327" i="13"/>
  <c r="J1327" i="13" s="1"/>
  <c r="I1321" i="13"/>
  <c r="J1321" i="13" s="1"/>
  <c r="I1343" i="13"/>
  <c r="J1343" i="13" s="1"/>
  <c r="I1350" i="13"/>
  <c r="J1350" i="13" s="1"/>
  <c r="I1323" i="13"/>
  <c r="J1323" i="13" s="1"/>
  <c r="I1310" i="13"/>
  <c r="I1316" i="13"/>
  <c r="J1316" i="13" s="1"/>
  <c r="I1356" i="13"/>
  <c r="J1356" i="13" s="1"/>
  <c r="I1334" i="13"/>
  <c r="J1334" i="13" s="1"/>
  <c r="I1328" i="13"/>
  <c r="J1328" i="13" s="1"/>
  <c r="I1352" i="13"/>
  <c r="J1352" i="13" s="1"/>
  <c r="I1336" i="13"/>
  <c r="J1336" i="13" s="1"/>
  <c r="I1319" i="13"/>
  <c r="J1319" i="13" s="1"/>
  <c r="I1342" i="13"/>
  <c r="J1342" i="13" s="1"/>
  <c r="I1346" i="13"/>
  <c r="J1346" i="13" s="1"/>
  <c r="I1330" i="13"/>
  <c r="J1330" i="13" s="1"/>
  <c r="I1318" i="13"/>
  <c r="J1318" i="13" s="1"/>
  <c r="I1353" i="13"/>
  <c r="J1353" i="13" s="1"/>
  <c r="I1340" i="13"/>
  <c r="J1340" i="13" s="1"/>
  <c r="I1308" i="13"/>
  <c r="I1337" i="13"/>
  <c r="J1337" i="13" s="1"/>
  <c r="I1315" i="13"/>
  <c r="J1315" i="13" s="1"/>
  <c r="I1326" i="13"/>
  <c r="J1326" i="13" s="1"/>
  <c r="I1345" i="13"/>
  <c r="J1345" i="13" s="1"/>
  <c r="I1333" i="13"/>
  <c r="J1333" i="13" s="1"/>
  <c r="I1309" i="13"/>
  <c r="J1309" i="13" s="1"/>
  <c r="I1349" i="13"/>
  <c r="J1349" i="13" s="1"/>
  <c r="I1329" i="13"/>
  <c r="J1329" i="13" s="1"/>
  <c r="I1324" i="13"/>
  <c r="J1324" i="13" s="1"/>
  <c r="I732" i="13"/>
  <c r="I717" i="13"/>
  <c r="I723" i="13"/>
  <c r="I747" i="13"/>
  <c r="I722" i="13"/>
  <c r="I709" i="13"/>
  <c r="I758" i="13"/>
  <c r="I704" i="13"/>
  <c r="I726" i="13"/>
  <c r="I708" i="13"/>
  <c r="I729" i="13"/>
  <c r="I727" i="13"/>
  <c r="I760" i="13"/>
  <c r="I725" i="13"/>
  <c r="I712" i="13"/>
  <c r="I705" i="13"/>
  <c r="I719" i="13"/>
  <c r="I757" i="13"/>
  <c r="I749" i="13"/>
  <c r="I746" i="13"/>
  <c r="I721" i="13"/>
  <c r="I728" i="13"/>
  <c r="I707" i="13"/>
  <c r="I713" i="13"/>
  <c r="I730" i="13"/>
  <c r="I734" i="13"/>
  <c r="I716" i="13"/>
  <c r="I738" i="13"/>
  <c r="I720" i="13"/>
  <c r="I711" i="13"/>
  <c r="I718" i="13"/>
  <c r="I759" i="13"/>
  <c r="I715" i="13"/>
  <c r="I745" i="13"/>
  <c r="I706" i="13"/>
  <c r="I753" i="13"/>
  <c r="I724" i="13"/>
  <c r="I739" i="13"/>
  <c r="I742" i="13"/>
  <c r="I755" i="13"/>
  <c r="I737" i="13"/>
  <c r="I744" i="13"/>
  <c r="I710" i="13"/>
  <c r="I752" i="13"/>
  <c r="I735" i="13"/>
  <c r="I748" i="13"/>
  <c r="I740" i="13"/>
  <c r="I754" i="13"/>
  <c r="I714" i="13"/>
  <c r="I736" i="13"/>
  <c r="I761" i="13"/>
  <c r="I731" i="13"/>
  <c r="I751" i="13"/>
  <c r="I741" i="13"/>
  <c r="I756" i="13"/>
  <c r="I733" i="13"/>
  <c r="I750" i="13"/>
  <c r="I743" i="13"/>
  <c r="G341" i="20"/>
  <c r="G608" i="20"/>
  <c r="H785" i="20"/>
  <c r="I785" i="20" s="1"/>
  <c r="H769" i="20"/>
  <c r="I769" i="20" s="1"/>
  <c r="H763" i="20"/>
  <c r="I763" i="20" s="1"/>
  <c r="H738" i="20"/>
  <c r="I738" i="20" s="1"/>
  <c r="H764" i="20"/>
  <c r="I764" i="20" s="1"/>
  <c r="H770" i="20"/>
  <c r="I770" i="20" s="1"/>
  <c r="H746" i="20"/>
  <c r="I746" i="20" s="1"/>
  <c r="H756" i="20"/>
  <c r="I756" i="20" s="1"/>
  <c r="H733" i="20"/>
  <c r="I733" i="20" s="1"/>
  <c r="H754" i="20"/>
  <c r="I754" i="20" s="1"/>
  <c r="H778" i="20"/>
  <c r="I778" i="20" s="1"/>
  <c r="H743" i="20"/>
  <c r="I743" i="20" s="1"/>
  <c r="H731" i="20"/>
  <c r="I731" i="20" s="1"/>
  <c r="H747" i="20"/>
  <c r="I747" i="20" s="1"/>
  <c r="H765" i="20"/>
  <c r="I765" i="20" s="1"/>
  <c r="H730" i="20"/>
  <c r="I730" i="20" s="1"/>
  <c r="H774" i="20"/>
  <c r="I774" i="20" s="1"/>
  <c r="H777" i="20"/>
  <c r="I777" i="20" s="1"/>
  <c r="H744" i="20"/>
  <c r="I744" i="20" s="1"/>
  <c r="H768" i="20"/>
  <c r="I768" i="20" s="1"/>
  <c r="H761" i="20"/>
  <c r="I761" i="20" s="1"/>
  <c r="H727" i="20"/>
  <c r="I727" i="20" s="1"/>
  <c r="H729" i="20"/>
  <c r="H732" i="20"/>
  <c r="I732" i="20" s="1"/>
  <c r="H767" i="20"/>
  <c r="I767" i="20" s="1"/>
  <c r="H783" i="20"/>
  <c r="I783" i="20" s="1"/>
  <c r="H734" i="20"/>
  <c r="I734" i="20" s="1"/>
  <c r="H755" i="20"/>
  <c r="I755" i="20" s="1"/>
  <c r="H749" i="20"/>
  <c r="I749" i="20" s="1"/>
  <c r="H736" i="20"/>
  <c r="I736" i="20" s="1"/>
  <c r="H758" i="20"/>
  <c r="I758" i="20" s="1"/>
  <c r="H760" i="20"/>
  <c r="I760" i="20" s="1"/>
  <c r="H741" i="20"/>
  <c r="I741" i="20" s="1"/>
  <c r="H781" i="20"/>
  <c r="I781" i="20" s="1"/>
  <c r="H762" i="20"/>
  <c r="I762" i="20" s="1"/>
  <c r="H776" i="20"/>
  <c r="I776" i="20" s="1"/>
  <c r="H771" i="20"/>
  <c r="I771" i="20" s="1"/>
  <c r="H735" i="20"/>
  <c r="I735" i="20" s="1"/>
  <c r="H773" i="20"/>
  <c r="I773" i="20" s="1"/>
  <c r="H757" i="20"/>
  <c r="I757" i="20" s="1"/>
  <c r="H728" i="20"/>
  <c r="I728" i="20" s="1"/>
  <c r="H737" i="20"/>
  <c r="I737" i="20" s="1"/>
  <c r="H759" i="20"/>
  <c r="I759" i="20" s="1"/>
  <c r="H726" i="20"/>
  <c r="H752" i="20"/>
  <c r="I752" i="20" s="1"/>
  <c r="H779" i="20"/>
  <c r="I779" i="20" s="1"/>
  <c r="H739" i="20"/>
  <c r="I739" i="20" s="1"/>
  <c r="H753" i="20"/>
  <c r="I753" i="20" s="1"/>
  <c r="H748" i="20"/>
  <c r="I748" i="20" s="1"/>
  <c r="H751" i="20"/>
  <c r="I751" i="20" s="1"/>
  <c r="H766" i="20"/>
  <c r="I766" i="20" s="1"/>
  <c r="H782" i="20"/>
  <c r="I782" i="20" s="1"/>
  <c r="H745" i="20"/>
  <c r="I745" i="20" s="1"/>
  <c r="H742" i="20"/>
  <c r="I742" i="20" s="1"/>
  <c r="H750" i="20"/>
  <c r="I750" i="20" s="1"/>
  <c r="H740" i="20"/>
  <c r="I740" i="20" s="1"/>
  <c r="H784" i="20"/>
  <c r="I784" i="20" s="1"/>
  <c r="H775" i="20"/>
  <c r="I775" i="20" s="1"/>
  <c r="H772" i="20"/>
  <c r="I772" i="20" s="1"/>
  <c r="H780" i="20"/>
  <c r="I780" i="20" s="1"/>
  <c r="H245" i="20"/>
  <c r="I245" i="20" s="1"/>
  <c r="H218" i="20"/>
  <c r="I218" i="20" s="1"/>
  <c r="H247" i="20"/>
  <c r="I247" i="20" s="1"/>
  <c r="H199" i="20"/>
  <c r="H202" i="20"/>
  <c r="I202" i="20" s="1"/>
  <c r="H216" i="20"/>
  <c r="I216" i="20" s="1"/>
  <c r="H197" i="20"/>
  <c r="I197" i="20" s="1"/>
  <c r="H207" i="20"/>
  <c r="I207" i="20" s="1"/>
  <c r="H210" i="20"/>
  <c r="I210" i="20" s="1"/>
  <c r="H243" i="20"/>
  <c r="I243" i="20" s="1"/>
  <c r="H211" i="20"/>
  <c r="I211" i="20" s="1"/>
  <c r="H233" i="20"/>
  <c r="I233" i="20" s="1"/>
  <c r="H238" i="20"/>
  <c r="I238" i="20" s="1"/>
  <c r="H214" i="20"/>
  <c r="I214" i="20" s="1"/>
  <c r="H193" i="20"/>
  <c r="I193" i="20" s="1"/>
  <c r="H223" i="20"/>
  <c r="I223" i="20" s="1"/>
  <c r="H240" i="20"/>
  <c r="I240" i="20" s="1"/>
  <c r="H198" i="20"/>
  <c r="I198" i="20" s="1"/>
  <c r="H229" i="20"/>
  <c r="I229" i="20" s="1"/>
  <c r="H208" i="20"/>
  <c r="I208" i="20" s="1"/>
  <c r="H241" i="20"/>
  <c r="I241" i="20" s="1"/>
  <c r="H221" i="20"/>
  <c r="I221" i="20" s="1"/>
  <c r="H192" i="20"/>
  <c r="H201" i="20"/>
  <c r="I201" i="20" s="1"/>
  <c r="H215" i="20"/>
  <c r="I215" i="20" s="1"/>
  <c r="H209" i="20"/>
  <c r="I209" i="20" s="1"/>
  <c r="H213" i="20"/>
  <c r="I213" i="20" s="1"/>
  <c r="H251" i="20"/>
  <c r="I251" i="20" s="1"/>
  <c r="H231" i="20"/>
  <c r="I231" i="20" s="1"/>
  <c r="H224" i="20"/>
  <c r="I224" i="20" s="1"/>
  <c r="H225" i="20"/>
  <c r="I225" i="20" s="1"/>
  <c r="H212" i="20"/>
  <c r="I212" i="20" s="1"/>
  <c r="H205" i="20"/>
  <c r="I205" i="20" s="1"/>
  <c r="H242" i="20"/>
  <c r="I242" i="20" s="1"/>
  <c r="H200" i="20"/>
  <c r="I200" i="20" s="1"/>
  <c r="H195" i="20"/>
  <c r="I195" i="20" s="1"/>
  <c r="H206" i="20"/>
  <c r="I206" i="20" s="1"/>
  <c r="H228" i="20"/>
  <c r="I228" i="20" s="1"/>
  <c r="H220" i="20"/>
  <c r="I220" i="20" s="1"/>
  <c r="H194" i="20"/>
  <c r="I194" i="20" s="1"/>
  <c r="H222" i="20"/>
  <c r="I222" i="20" s="1"/>
  <c r="H249" i="20"/>
  <c r="I249" i="20" s="1"/>
  <c r="H230" i="20"/>
  <c r="I230" i="20" s="1"/>
  <c r="H226" i="20"/>
  <c r="I226" i="20" s="1"/>
  <c r="H203" i="20"/>
  <c r="I203" i="20" s="1"/>
  <c r="H246" i="20"/>
  <c r="I246" i="20" s="1"/>
  <c r="H250" i="20"/>
  <c r="I250" i="20" s="1"/>
  <c r="H239" i="20"/>
  <c r="I239" i="20" s="1"/>
  <c r="H196" i="20"/>
  <c r="I196" i="20" s="1"/>
  <c r="H219" i="20"/>
  <c r="I219" i="20" s="1"/>
  <c r="H227" i="20"/>
  <c r="I227" i="20" s="1"/>
  <c r="H248" i="20"/>
  <c r="I248" i="20" s="1"/>
  <c r="H236" i="20"/>
  <c r="I236" i="20" s="1"/>
  <c r="H244" i="20"/>
  <c r="I244" i="20" s="1"/>
  <c r="H235" i="20"/>
  <c r="I235" i="20" s="1"/>
  <c r="H217" i="20"/>
  <c r="I217" i="20" s="1"/>
  <c r="H232" i="20"/>
  <c r="I232" i="20" s="1"/>
  <c r="H204" i="20"/>
  <c r="I204" i="20" s="1"/>
  <c r="H234" i="20"/>
  <c r="I234" i="20" s="1"/>
  <c r="H237" i="20"/>
  <c r="I237" i="20" s="1"/>
  <c r="H285" i="20"/>
  <c r="H289" i="20"/>
  <c r="I289" i="20" s="1"/>
  <c r="H307" i="20"/>
  <c r="I307" i="20" s="1"/>
  <c r="H325" i="20"/>
  <c r="I325" i="20" s="1"/>
  <c r="H288" i="20"/>
  <c r="I288" i="20" s="1"/>
  <c r="H281" i="20"/>
  <c r="H323" i="20"/>
  <c r="I323" i="20" s="1"/>
  <c r="H305" i="20"/>
  <c r="I305" i="20" s="1"/>
  <c r="H287" i="20"/>
  <c r="I287" i="20" s="1"/>
  <c r="H284" i="20"/>
  <c r="I284" i="20" s="1"/>
  <c r="H319" i="20"/>
  <c r="I319" i="20" s="1"/>
  <c r="H306" i="20"/>
  <c r="I306" i="20" s="1"/>
  <c r="H324" i="20"/>
  <c r="I324" i="20" s="1"/>
  <c r="H295" i="20"/>
  <c r="I295" i="20" s="1"/>
  <c r="H333" i="20"/>
  <c r="I333" i="20" s="1"/>
  <c r="H292" i="20"/>
  <c r="I292" i="20" s="1"/>
  <c r="H314" i="20"/>
  <c r="I314" i="20" s="1"/>
  <c r="H332" i="20"/>
  <c r="I332" i="20" s="1"/>
  <c r="H282" i="20"/>
  <c r="I282" i="20" s="1"/>
  <c r="H326" i="20"/>
  <c r="I326" i="20" s="1"/>
  <c r="H291" i="20"/>
  <c r="I291" i="20" s="1"/>
  <c r="H317" i="20"/>
  <c r="I317" i="20" s="1"/>
  <c r="H310" i="20"/>
  <c r="I310" i="20" s="1"/>
  <c r="H318" i="20"/>
  <c r="I318" i="20" s="1"/>
  <c r="H309" i="20"/>
  <c r="I309" i="20" s="1"/>
  <c r="H308" i="20"/>
  <c r="I308" i="20" s="1"/>
  <c r="H331" i="20"/>
  <c r="I331" i="20" s="1"/>
  <c r="H330" i="20"/>
  <c r="I330" i="20" s="1"/>
  <c r="H286" i="20"/>
  <c r="I286" i="20" s="1"/>
  <c r="H327" i="20"/>
  <c r="I327" i="20" s="1"/>
  <c r="H294" i="20"/>
  <c r="I294" i="20" s="1"/>
  <c r="H339" i="20"/>
  <c r="I339" i="20" s="1"/>
  <c r="H293" i="20"/>
  <c r="I293" i="20" s="1"/>
  <c r="H301" i="20"/>
  <c r="I301" i="20" s="1"/>
  <c r="H316" i="20"/>
  <c r="I316" i="20" s="1"/>
  <c r="H303" i="20"/>
  <c r="I303" i="20" s="1"/>
  <c r="H340" i="20"/>
  <c r="I340" i="20" s="1"/>
  <c r="H322" i="20"/>
  <c r="I322" i="20" s="1"/>
  <c r="H299" i="20"/>
  <c r="I299" i="20" s="1"/>
  <c r="H313" i="20"/>
  <c r="I313" i="20" s="1"/>
  <c r="H300" i="20"/>
  <c r="I300" i="20" s="1"/>
  <c r="H312" i="20"/>
  <c r="I312" i="20" s="1"/>
  <c r="H334" i="20"/>
  <c r="I334" i="20" s="1"/>
  <c r="H297" i="20"/>
  <c r="I297" i="20" s="1"/>
  <c r="H320" i="20"/>
  <c r="I320" i="20" s="1"/>
  <c r="H304" i="20"/>
  <c r="I304" i="20" s="1"/>
  <c r="H337" i="20"/>
  <c r="I337" i="20" s="1"/>
  <c r="H296" i="20"/>
  <c r="I296" i="20" s="1"/>
  <c r="H321" i="20"/>
  <c r="I321" i="20" s="1"/>
  <c r="H315" i="20"/>
  <c r="I315" i="20" s="1"/>
  <c r="H311" i="20"/>
  <c r="I311" i="20" s="1"/>
  <c r="H335" i="20"/>
  <c r="I335" i="20" s="1"/>
  <c r="H329" i="20"/>
  <c r="I329" i="20" s="1"/>
  <c r="H336" i="20"/>
  <c r="I336" i="20" s="1"/>
  <c r="H298" i="20"/>
  <c r="I298" i="20" s="1"/>
  <c r="H290" i="20"/>
  <c r="I290" i="20" s="1"/>
  <c r="H283" i="20"/>
  <c r="I283" i="20" s="1"/>
  <c r="H302" i="20"/>
  <c r="I302" i="20" s="1"/>
  <c r="H328" i="20"/>
  <c r="I328" i="20" s="1"/>
  <c r="H338" i="20"/>
  <c r="I338" i="20" s="1"/>
  <c r="G1142" i="20"/>
  <c r="H1188" i="20"/>
  <c r="I1188" i="20" s="1"/>
  <c r="H1119" i="20"/>
  <c r="I1119" i="20" s="1"/>
  <c r="H1178" i="20"/>
  <c r="I1178" i="20" s="1"/>
  <c r="H1100" i="20"/>
  <c r="I1100" i="20" s="1"/>
  <c r="H1120" i="20"/>
  <c r="I1120" i="20" s="1"/>
  <c r="H1006" i="20"/>
  <c r="I1006" i="20" s="1"/>
  <c r="H1011" i="20"/>
  <c r="I1011" i="20" s="1"/>
  <c r="H1126" i="20"/>
  <c r="I1126" i="20" s="1"/>
  <c r="H1020" i="20"/>
  <c r="I1020" i="20" s="1"/>
  <c r="H1115" i="20"/>
  <c r="I1115" i="20" s="1"/>
  <c r="H1099" i="20"/>
  <c r="I1099" i="20" s="1"/>
  <c r="H1128" i="20"/>
  <c r="I1128" i="20" s="1"/>
  <c r="H1214" i="20"/>
  <c r="I1214" i="20" s="1"/>
  <c r="H1096" i="20"/>
  <c r="I1096" i="20" s="1"/>
  <c r="H1200" i="20"/>
  <c r="I1200" i="20" s="1"/>
  <c r="H1190" i="20"/>
  <c r="I1190" i="20" s="1"/>
  <c r="H1136" i="20"/>
  <c r="I1136" i="20" s="1"/>
  <c r="H1208" i="20"/>
  <c r="I1208" i="20" s="1"/>
  <c r="H1141" i="20"/>
  <c r="I1141" i="20" s="1"/>
  <c r="H1177" i="20"/>
  <c r="I1177" i="20" s="1"/>
  <c r="H1007" i="20"/>
  <c r="I1007" i="20" s="1"/>
  <c r="H1215" i="20"/>
  <c r="I1215" i="20" s="1"/>
  <c r="H1196" i="20"/>
  <c r="I1196" i="20" s="1"/>
  <c r="H1045" i="20"/>
  <c r="I1045" i="20" s="1"/>
  <c r="H1016" i="20"/>
  <c r="I1016" i="20" s="1"/>
  <c r="H1014" i="20"/>
  <c r="I1014" i="20" s="1"/>
  <c r="H1140" i="20"/>
  <c r="I1140" i="20" s="1"/>
  <c r="H1021" i="20"/>
  <c r="I1021" i="20" s="1"/>
  <c r="H1131" i="20"/>
  <c r="I1131" i="20" s="1"/>
  <c r="H1176" i="20"/>
  <c r="I1176" i="20" s="1"/>
  <c r="H1191" i="20"/>
  <c r="I1191" i="20" s="1"/>
  <c r="H1012" i="20"/>
  <c r="I1012" i="20" s="1"/>
  <c r="H1110" i="20"/>
  <c r="I1110" i="20" s="1"/>
  <c r="H1004" i="20"/>
  <c r="I1004" i="20" s="1"/>
  <c r="H1101" i="20"/>
  <c r="I1101" i="20" s="1"/>
  <c r="H1109" i="20"/>
  <c r="I1109" i="20" s="1"/>
  <c r="H1123" i="20"/>
  <c r="I1123" i="20" s="1"/>
  <c r="H997" i="20"/>
  <c r="H1194" i="20"/>
  <c r="I1194" i="20" s="1"/>
  <c r="H1102" i="20"/>
  <c r="I1102" i="20" s="1"/>
  <c r="H1038" i="20"/>
  <c r="I1038" i="20" s="1"/>
  <c r="H1002" i="20"/>
  <c r="I1002" i="20" s="1"/>
  <c r="H1132" i="20"/>
  <c r="I1132" i="20" s="1"/>
  <c r="H1046" i="20"/>
  <c r="I1046" i="20" s="1"/>
  <c r="H1222" i="20"/>
  <c r="I1222" i="20" s="1"/>
  <c r="H1003" i="20"/>
  <c r="I1003" i="20" s="1"/>
  <c r="H1173" i="20"/>
  <c r="I1173" i="20" s="1"/>
  <c r="H1034" i="20"/>
  <c r="I1034" i="20" s="1"/>
  <c r="H1137" i="20"/>
  <c r="I1137" i="20" s="1"/>
  <c r="H1107" i="20"/>
  <c r="I1107" i="20" s="1"/>
  <c r="H1017" i="20"/>
  <c r="I1017" i="20" s="1"/>
  <c r="H1203" i="20"/>
  <c r="I1203" i="20" s="1"/>
  <c r="H1108" i="20"/>
  <c r="I1108" i="20" s="1"/>
  <c r="H1220" i="20"/>
  <c r="I1220" i="20" s="1"/>
  <c r="H1019" i="20"/>
  <c r="I1019" i="20" s="1"/>
  <c r="H1172" i="20"/>
  <c r="I1172" i="20" s="1"/>
  <c r="H1036" i="20"/>
  <c r="I1036" i="20" s="1"/>
  <c r="H1013" i="20"/>
  <c r="I1013" i="20" s="1"/>
  <c r="H993" i="20"/>
  <c r="H1043" i="20"/>
  <c r="I1043" i="20" s="1"/>
  <c r="H1093" i="20"/>
  <c r="I1093" i="20" s="1"/>
  <c r="H1041" i="20"/>
  <c r="I1041" i="20" s="1"/>
  <c r="H1084" i="20"/>
  <c r="I1084" i="20" s="1"/>
  <c r="H1114" i="20"/>
  <c r="I1114" i="20" s="1"/>
  <c r="H1027" i="20"/>
  <c r="I1027" i="20" s="1"/>
  <c r="H1095" i="20"/>
  <c r="I1095" i="20" s="1"/>
  <c r="H1127" i="20"/>
  <c r="I1127" i="20" s="1"/>
  <c r="H1134" i="20"/>
  <c r="I1134" i="20" s="1"/>
  <c r="H1033" i="20"/>
  <c r="I1033" i="20" s="1"/>
  <c r="H1091" i="20"/>
  <c r="I1091" i="20" s="1"/>
  <c r="H1087" i="20"/>
  <c r="I1087" i="20" s="1"/>
  <c r="H1105" i="20"/>
  <c r="I1105" i="20" s="1"/>
  <c r="H1082" i="20"/>
  <c r="H1228" i="20"/>
  <c r="I1228" i="20" s="1"/>
  <c r="H1086" i="20"/>
  <c r="I1086" i="20" s="1"/>
  <c r="H1184" i="20"/>
  <c r="I1184" i="20" s="1"/>
  <c r="H1212" i="20"/>
  <c r="I1212" i="20" s="1"/>
  <c r="H1138" i="20"/>
  <c r="I1138" i="20" s="1"/>
  <c r="H1015" i="20"/>
  <c r="I1015" i="20" s="1"/>
  <c r="H1180" i="20"/>
  <c r="I1180" i="20" s="1"/>
  <c r="H1224" i="20"/>
  <c r="I1224" i="20" s="1"/>
  <c r="H1022" i="20"/>
  <c r="I1022" i="20" s="1"/>
  <c r="H1192" i="20"/>
  <c r="I1192" i="20" s="1"/>
  <c r="H1090" i="20"/>
  <c r="I1090" i="20" s="1"/>
  <c r="H1085" i="20"/>
  <c r="I1085" i="20" s="1"/>
  <c r="H1042" i="20"/>
  <c r="I1042" i="20" s="1"/>
  <c r="H1005" i="20"/>
  <c r="I1005" i="20" s="1"/>
  <c r="H1175" i="20"/>
  <c r="I1175" i="20" s="1"/>
  <c r="H1139" i="20"/>
  <c r="I1139" i="20" s="1"/>
  <c r="H1001" i="20"/>
  <c r="I1001" i="20" s="1"/>
  <c r="H1206" i="20"/>
  <c r="I1206" i="20" s="1"/>
  <c r="H999" i="20"/>
  <c r="I999" i="20" s="1"/>
  <c r="H1130" i="20"/>
  <c r="I1130" i="20" s="1"/>
  <c r="H1031" i="20"/>
  <c r="I1031" i="20" s="1"/>
  <c r="H1129" i="20"/>
  <c r="I1129" i="20" s="1"/>
  <c r="H1089" i="20"/>
  <c r="I1089" i="20" s="1"/>
  <c r="H1029" i="20"/>
  <c r="I1029" i="20" s="1"/>
  <c r="H1026" i="20"/>
  <c r="I1026" i="20" s="1"/>
  <c r="H1182" i="20"/>
  <c r="I1182" i="20" s="1"/>
  <c r="H1025" i="20"/>
  <c r="I1025" i="20" s="1"/>
  <c r="H1088" i="20"/>
  <c r="I1088" i="20" s="1"/>
  <c r="H1221" i="20"/>
  <c r="I1221" i="20" s="1"/>
  <c r="H1098" i="20"/>
  <c r="I1098" i="20" s="1"/>
  <c r="H1195" i="20"/>
  <c r="I1195" i="20" s="1"/>
  <c r="H998" i="20"/>
  <c r="I998" i="20" s="1"/>
  <c r="H1135" i="20"/>
  <c r="I1135" i="20" s="1"/>
  <c r="H1037" i="20"/>
  <c r="I1037" i="20" s="1"/>
  <c r="H1174" i="20"/>
  <c r="I1174" i="20" s="1"/>
  <c r="H1179" i="20"/>
  <c r="I1179" i="20" s="1"/>
  <c r="H1218" i="20"/>
  <c r="I1218" i="20" s="1"/>
  <c r="H996" i="20"/>
  <c r="I996" i="20" s="1"/>
  <c r="H1204" i="20"/>
  <c r="I1204" i="20" s="1"/>
  <c r="H1183" i="20"/>
  <c r="I1183" i="20" s="1"/>
  <c r="H1024" i="20"/>
  <c r="I1024" i="20" s="1"/>
  <c r="H1205" i="20"/>
  <c r="I1205" i="20" s="1"/>
  <c r="H1113" i="20"/>
  <c r="I1113" i="20" s="1"/>
  <c r="H1047" i="20"/>
  <c r="I1047" i="20" s="1"/>
  <c r="H1052" i="20"/>
  <c r="I1052" i="20" s="1"/>
  <c r="H1209" i="20"/>
  <c r="I1209" i="20" s="1"/>
  <c r="H1094" i="20"/>
  <c r="I1094" i="20" s="1"/>
  <c r="H1201" i="20"/>
  <c r="I1201" i="20" s="1"/>
  <c r="H995" i="20"/>
  <c r="I995" i="20" s="1"/>
  <c r="H1210" i="20"/>
  <c r="I1210" i="20" s="1"/>
  <c r="H1083" i="20"/>
  <c r="H1225" i="20"/>
  <c r="I1225" i="20" s="1"/>
  <c r="H1124" i="20"/>
  <c r="I1124" i="20" s="1"/>
  <c r="H1040" i="20"/>
  <c r="I1040" i="20" s="1"/>
  <c r="H1116" i="20"/>
  <c r="I1116" i="20" s="1"/>
  <c r="H1171" i="20"/>
  <c r="H1111" i="20"/>
  <c r="I1111" i="20" s="1"/>
  <c r="H1028" i="20"/>
  <c r="I1028" i="20" s="1"/>
  <c r="H1039" i="20"/>
  <c r="I1039" i="20" s="1"/>
  <c r="H1035" i="20"/>
  <c r="I1035" i="20" s="1"/>
  <c r="H1044" i="20"/>
  <c r="I1044" i="20" s="1"/>
  <c r="H1227" i="20"/>
  <c r="I1227" i="20" s="1"/>
  <c r="H1193" i="20"/>
  <c r="I1193" i="20" s="1"/>
  <c r="H1198" i="20"/>
  <c r="I1198" i="20" s="1"/>
  <c r="H1048" i="20"/>
  <c r="I1048" i="20" s="1"/>
  <c r="H1202" i="20"/>
  <c r="I1202" i="20" s="1"/>
  <c r="H1104" i="20"/>
  <c r="I1104" i="20" s="1"/>
  <c r="H1000" i="20"/>
  <c r="I1000" i="20" s="1"/>
  <c r="H1118" i="20"/>
  <c r="I1118" i="20" s="1"/>
  <c r="H1092" i="20"/>
  <c r="I1092" i="20" s="1"/>
  <c r="H1030" i="20"/>
  <c r="I1030" i="20" s="1"/>
  <c r="H994" i="20"/>
  <c r="I994" i="20" s="1"/>
  <c r="H1219" i="20"/>
  <c r="I1219" i="20" s="1"/>
  <c r="H1229" i="20"/>
  <c r="I1229" i="20" s="1"/>
  <c r="H1032" i="20"/>
  <c r="I1032" i="20" s="1"/>
  <c r="H1125" i="20"/>
  <c r="I1125" i="20" s="1"/>
  <c r="H1018" i="20"/>
  <c r="I1018" i="20" s="1"/>
  <c r="H1103" i="20"/>
  <c r="I1103" i="20" s="1"/>
  <c r="H1121" i="20"/>
  <c r="I1121" i="20" s="1"/>
  <c r="H1217" i="20"/>
  <c r="I1217" i="20" s="1"/>
  <c r="H1187" i="20"/>
  <c r="I1187" i="20" s="1"/>
  <c r="H1051" i="20"/>
  <c r="I1051" i="20" s="1"/>
  <c r="H1223" i="20"/>
  <c r="I1223" i="20" s="1"/>
  <c r="H1207" i="20"/>
  <c r="I1207" i="20" s="1"/>
  <c r="H1185" i="20"/>
  <c r="I1185" i="20" s="1"/>
  <c r="H1010" i="20"/>
  <c r="I1010" i="20" s="1"/>
  <c r="H1023" i="20"/>
  <c r="I1023" i="20" s="1"/>
  <c r="H1216" i="20"/>
  <c r="I1216" i="20" s="1"/>
  <c r="H1122" i="20"/>
  <c r="I1122" i="20" s="1"/>
  <c r="H1189" i="20"/>
  <c r="I1189" i="20" s="1"/>
  <c r="H1049" i="20"/>
  <c r="I1049" i="20" s="1"/>
  <c r="H1199" i="20"/>
  <c r="I1199" i="20" s="1"/>
  <c r="H1133" i="20"/>
  <c r="I1133" i="20" s="1"/>
  <c r="H1097" i="20"/>
  <c r="I1097" i="20" s="1"/>
  <c r="H1009" i="20"/>
  <c r="I1009" i="20" s="1"/>
  <c r="H1181" i="20"/>
  <c r="I1181" i="20" s="1"/>
  <c r="H1106" i="20"/>
  <c r="I1106" i="20" s="1"/>
  <c r="H1050" i="20"/>
  <c r="I1050" i="20" s="1"/>
  <c r="H1230" i="20"/>
  <c r="I1230" i="20" s="1"/>
  <c r="H1213" i="20"/>
  <c r="I1213" i="20" s="1"/>
  <c r="H1226" i="20"/>
  <c r="I1226" i="20" s="1"/>
  <c r="H1186" i="20"/>
  <c r="I1186" i="20" s="1"/>
  <c r="H1112" i="20"/>
  <c r="I1112" i="20" s="1"/>
  <c r="H1211" i="20"/>
  <c r="I1211" i="20" s="1"/>
  <c r="H1117" i="20"/>
  <c r="I1117" i="20" s="1"/>
  <c r="H1197" i="20"/>
  <c r="I1197" i="20" s="1"/>
  <c r="H1008" i="20"/>
  <c r="I1008" i="20" s="1"/>
  <c r="G430" i="20"/>
  <c r="M1297" i="13"/>
  <c r="M1298" i="13" s="1"/>
  <c r="M1313" i="13"/>
  <c r="G162" i="20"/>
  <c r="H372" i="20"/>
  <c r="I372" i="20" s="1"/>
  <c r="H405" i="20"/>
  <c r="I405" i="20" s="1"/>
  <c r="H400" i="20"/>
  <c r="I400" i="20" s="1"/>
  <c r="H423" i="20"/>
  <c r="I423" i="20" s="1"/>
  <c r="H421" i="20"/>
  <c r="I421" i="20" s="1"/>
  <c r="H381" i="20"/>
  <c r="I381" i="20" s="1"/>
  <c r="H391" i="20"/>
  <c r="I391" i="20" s="1"/>
  <c r="H419" i="20"/>
  <c r="I419" i="20" s="1"/>
  <c r="H399" i="20"/>
  <c r="I399" i="20" s="1"/>
  <c r="H427" i="20"/>
  <c r="I427" i="20" s="1"/>
  <c r="H376" i="20"/>
  <c r="I376" i="20" s="1"/>
  <c r="H422" i="20"/>
  <c r="I422" i="20" s="1"/>
  <c r="H408" i="20"/>
  <c r="I408" i="20" s="1"/>
  <c r="H415" i="20"/>
  <c r="I415" i="20" s="1"/>
  <c r="H375" i="20"/>
  <c r="I375" i="20" s="1"/>
  <c r="H425" i="20"/>
  <c r="I425" i="20" s="1"/>
  <c r="H416" i="20"/>
  <c r="I416" i="20" s="1"/>
  <c r="H393" i="20"/>
  <c r="I393" i="20" s="1"/>
  <c r="H382" i="20"/>
  <c r="I382" i="20" s="1"/>
  <c r="H402" i="20"/>
  <c r="I402" i="20" s="1"/>
  <c r="H370" i="20"/>
  <c r="H404" i="20"/>
  <c r="I404" i="20" s="1"/>
  <c r="H429" i="20"/>
  <c r="I429" i="20" s="1"/>
  <c r="H397" i="20"/>
  <c r="I397" i="20" s="1"/>
  <c r="H374" i="20"/>
  <c r="H409" i="20"/>
  <c r="I409" i="20" s="1"/>
  <c r="H378" i="20"/>
  <c r="I378" i="20" s="1"/>
  <c r="H410" i="20"/>
  <c r="I410" i="20" s="1"/>
  <c r="H428" i="20"/>
  <c r="I428" i="20" s="1"/>
  <c r="H386" i="20"/>
  <c r="I386" i="20" s="1"/>
  <c r="H377" i="20"/>
  <c r="I377" i="20" s="1"/>
  <c r="H414" i="20"/>
  <c r="I414" i="20" s="1"/>
  <c r="H384" i="20"/>
  <c r="I384" i="20" s="1"/>
  <c r="H388" i="20"/>
  <c r="I388" i="20" s="1"/>
  <c r="H395" i="20"/>
  <c r="I395" i="20" s="1"/>
  <c r="H392" i="20"/>
  <c r="I392" i="20" s="1"/>
  <c r="H383" i="20"/>
  <c r="I383" i="20" s="1"/>
  <c r="H379" i="20"/>
  <c r="I379" i="20" s="1"/>
  <c r="H417" i="20"/>
  <c r="I417" i="20" s="1"/>
  <c r="H390" i="20"/>
  <c r="I390" i="20" s="1"/>
  <c r="H371" i="20"/>
  <c r="I371" i="20" s="1"/>
  <c r="H385" i="20"/>
  <c r="I385" i="20" s="1"/>
  <c r="H403" i="20"/>
  <c r="I403" i="20" s="1"/>
  <c r="H412" i="20"/>
  <c r="I412" i="20" s="1"/>
  <c r="H424" i="20"/>
  <c r="I424" i="20" s="1"/>
  <c r="H413" i="20"/>
  <c r="I413" i="20" s="1"/>
  <c r="H420" i="20"/>
  <c r="I420" i="20" s="1"/>
  <c r="H411" i="20"/>
  <c r="I411" i="20" s="1"/>
  <c r="H426" i="20"/>
  <c r="I426" i="20" s="1"/>
  <c r="H389" i="20"/>
  <c r="I389" i="20" s="1"/>
  <c r="H406" i="20"/>
  <c r="I406" i="20" s="1"/>
  <c r="H407" i="20"/>
  <c r="I407" i="20" s="1"/>
  <c r="H373" i="20"/>
  <c r="I373" i="20" s="1"/>
  <c r="H418" i="20"/>
  <c r="I418" i="20" s="1"/>
  <c r="H401" i="20"/>
  <c r="I401" i="20" s="1"/>
  <c r="H398" i="20"/>
  <c r="I398" i="20" s="1"/>
  <c r="H394" i="20"/>
  <c r="I394" i="20" s="1"/>
  <c r="H380" i="20"/>
  <c r="I380" i="20" s="1"/>
  <c r="H396" i="20"/>
  <c r="I396" i="20" s="1"/>
  <c r="H387" i="20"/>
  <c r="I387" i="20" s="1"/>
  <c r="H518" i="20"/>
  <c r="I518" i="20" s="1"/>
  <c r="H483" i="20"/>
  <c r="I483" i="20" s="1"/>
  <c r="H493" i="20"/>
  <c r="I493" i="20" s="1"/>
  <c r="H489" i="20"/>
  <c r="I489" i="20" s="1"/>
  <c r="H486" i="20"/>
  <c r="I486" i="20" s="1"/>
  <c r="H485" i="20"/>
  <c r="I485" i="20" s="1"/>
  <c r="H459" i="20"/>
  <c r="H508" i="20"/>
  <c r="I508" i="20" s="1"/>
  <c r="H507" i="20"/>
  <c r="I507" i="20" s="1"/>
  <c r="H461" i="20"/>
  <c r="I461" i="20" s="1"/>
  <c r="H500" i="20"/>
  <c r="I500" i="20" s="1"/>
  <c r="H470" i="20"/>
  <c r="I470" i="20" s="1"/>
  <c r="H466" i="20"/>
  <c r="I466" i="20" s="1"/>
  <c r="H501" i="20"/>
  <c r="I501" i="20" s="1"/>
  <c r="H484" i="20"/>
  <c r="I484" i="20" s="1"/>
  <c r="H462" i="20"/>
  <c r="H482" i="20"/>
  <c r="I482" i="20" s="1"/>
  <c r="H481" i="20"/>
  <c r="I481" i="20" s="1"/>
  <c r="H498" i="20"/>
  <c r="I498" i="20" s="1"/>
  <c r="H492" i="20"/>
  <c r="I492" i="20" s="1"/>
  <c r="H496" i="20"/>
  <c r="I496" i="20" s="1"/>
  <c r="H491" i="20"/>
  <c r="I491" i="20" s="1"/>
  <c r="H497" i="20"/>
  <c r="I497" i="20" s="1"/>
  <c r="H499" i="20"/>
  <c r="I499" i="20" s="1"/>
  <c r="H475" i="20"/>
  <c r="I475" i="20" s="1"/>
  <c r="H513" i="20"/>
  <c r="I513" i="20" s="1"/>
  <c r="H502" i="20"/>
  <c r="I502" i="20" s="1"/>
  <c r="H487" i="20"/>
  <c r="I487" i="20" s="1"/>
  <c r="H477" i="20"/>
  <c r="I477" i="20" s="1"/>
  <c r="H469" i="20"/>
  <c r="I469" i="20" s="1"/>
  <c r="H490" i="20"/>
  <c r="I490" i="20" s="1"/>
  <c r="H463" i="20"/>
  <c r="I463" i="20" s="1"/>
  <c r="H472" i="20"/>
  <c r="I472" i="20" s="1"/>
  <c r="H505" i="20"/>
  <c r="I505" i="20" s="1"/>
  <c r="H514" i="20"/>
  <c r="I514" i="20" s="1"/>
  <c r="H464" i="20"/>
  <c r="I464" i="20" s="1"/>
  <c r="H495" i="20"/>
  <c r="I495" i="20" s="1"/>
  <c r="H506" i="20"/>
  <c r="I506" i="20" s="1"/>
  <c r="H480" i="20"/>
  <c r="I480" i="20" s="1"/>
  <c r="H503" i="20"/>
  <c r="I503" i="20" s="1"/>
  <c r="H517" i="20"/>
  <c r="I517" i="20" s="1"/>
  <c r="H478" i="20"/>
  <c r="I478" i="20" s="1"/>
  <c r="H504" i="20"/>
  <c r="I504" i="20" s="1"/>
  <c r="H468" i="20"/>
  <c r="I468" i="20" s="1"/>
  <c r="H465" i="20"/>
  <c r="I465" i="20" s="1"/>
  <c r="H479" i="20"/>
  <c r="I479" i="20" s="1"/>
  <c r="H488" i="20"/>
  <c r="I488" i="20" s="1"/>
  <c r="H512" i="20"/>
  <c r="I512" i="20" s="1"/>
  <c r="H515" i="20"/>
  <c r="I515" i="20" s="1"/>
  <c r="H471" i="20"/>
  <c r="I471" i="20" s="1"/>
  <c r="H460" i="20"/>
  <c r="I460" i="20" s="1"/>
  <c r="H510" i="20"/>
  <c r="I510" i="20" s="1"/>
  <c r="H473" i="20"/>
  <c r="I473" i="20" s="1"/>
  <c r="H516" i="20"/>
  <c r="I516" i="20" s="1"/>
  <c r="H509" i="20"/>
  <c r="I509" i="20" s="1"/>
  <c r="H476" i="20"/>
  <c r="I476" i="20" s="1"/>
  <c r="H494" i="20"/>
  <c r="I494" i="20" s="1"/>
  <c r="H474" i="20"/>
  <c r="I474" i="20" s="1"/>
  <c r="H511" i="20"/>
  <c r="I511" i="20" s="1"/>
  <c r="H467" i="20"/>
  <c r="I467" i="20" s="1"/>
  <c r="G1231" i="20"/>
  <c r="N1158" i="20"/>
  <c r="M26" i="20" s="1"/>
  <c r="H560" i="20"/>
  <c r="I560" i="20" s="1"/>
  <c r="H567" i="20"/>
  <c r="I567" i="20" s="1"/>
  <c r="H607" i="20"/>
  <c r="I607" i="20" s="1"/>
  <c r="H552" i="20"/>
  <c r="I552" i="20" s="1"/>
  <c r="H604" i="20"/>
  <c r="I604" i="20" s="1"/>
  <c r="H596" i="20"/>
  <c r="I596" i="20" s="1"/>
  <c r="H566" i="20"/>
  <c r="I566" i="20" s="1"/>
  <c r="H587" i="20"/>
  <c r="I587" i="20" s="1"/>
  <c r="H595" i="20"/>
  <c r="I595" i="20" s="1"/>
  <c r="H582" i="20"/>
  <c r="I582" i="20" s="1"/>
  <c r="H569" i="20"/>
  <c r="I569" i="20" s="1"/>
  <c r="H557" i="20"/>
  <c r="I557" i="20" s="1"/>
  <c r="H558" i="20"/>
  <c r="I558" i="20" s="1"/>
  <c r="H599" i="20"/>
  <c r="I599" i="20" s="1"/>
  <c r="H570" i="20"/>
  <c r="I570" i="20" s="1"/>
  <c r="H550" i="20"/>
  <c r="H555" i="20"/>
  <c r="I555" i="20" s="1"/>
  <c r="H549" i="20"/>
  <c r="I549" i="20" s="1"/>
  <c r="H556" i="20"/>
  <c r="I556" i="20" s="1"/>
  <c r="H586" i="20"/>
  <c r="I586" i="20" s="1"/>
  <c r="H598" i="20"/>
  <c r="I598" i="20" s="1"/>
  <c r="H565" i="20"/>
  <c r="I565" i="20" s="1"/>
  <c r="H572" i="20"/>
  <c r="I572" i="20" s="1"/>
  <c r="H602" i="20"/>
  <c r="I602" i="20" s="1"/>
  <c r="H576" i="20"/>
  <c r="I576" i="20" s="1"/>
  <c r="H564" i="20"/>
  <c r="I564" i="20" s="1"/>
  <c r="H562" i="20"/>
  <c r="I562" i="20" s="1"/>
  <c r="H575" i="20"/>
  <c r="I575" i="20" s="1"/>
  <c r="H568" i="20"/>
  <c r="I568" i="20" s="1"/>
  <c r="H561" i="20"/>
  <c r="I561" i="20" s="1"/>
  <c r="H588" i="20"/>
  <c r="I588" i="20" s="1"/>
  <c r="H585" i="20"/>
  <c r="I585" i="20" s="1"/>
  <c r="H603" i="20"/>
  <c r="I603" i="20" s="1"/>
  <c r="H594" i="20"/>
  <c r="I594" i="20" s="1"/>
  <c r="H574" i="20"/>
  <c r="I574" i="20" s="1"/>
  <c r="H597" i="20"/>
  <c r="I597" i="20" s="1"/>
  <c r="H583" i="20"/>
  <c r="I583" i="20" s="1"/>
  <c r="H592" i="20"/>
  <c r="I592" i="20" s="1"/>
  <c r="H601" i="20"/>
  <c r="I601" i="20" s="1"/>
  <c r="H606" i="20"/>
  <c r="I606" i="20" s="1"/>
  <c r="H578" i="20"/>
  <c r="I578" i="20" s="1"/>
  <c r="H554" i="20"/>
  <c r="I554" i="20" s="1"/>
  <c r="H563" i="20"/>
  <c r="I563" i="20" s="1"/>
  <c r="H551" i="20"/>
  <c r="I551" i="20" s="1"/>
  <c r="H573" i="20"/>
  <c r="I573" i="20" s="1"/>
  <c r="H593" i="20"/>
  <c r="I593" i="20" s="1"/>
  <c r="H548" i="20"/>
  <c r="H591" i="20"/>
  <c r="I591" i="20" s="1"/>
  <c r="H579" i="20"/>
  <c r="I579" i="20" s="1"/>
  <c r="H605" i="20"/>
  <c r="I605" i="20" s="1"/>
  <c r="H559" i="20"/>
  <c r="I559" i="20" s="1"/>
  <c r="H577" i="20"/>
  <c r="I577" i="20" s="1"/>
  <c r="H590" i="20"/>
  <c r="I590" i="20" s="1"/>
  <c r="H600" i="20"/>
  <c r="I600" i="20" s="1"/>
  <c r="H571" i="20"/>
  <c r="I571" i="20" s="1"/>
  <c r="H581" i="20"/>
  <c r="I581" i="20" s="1"/>
  <c r="H584" i="20"/>
  <c r="I584" i="20" s="1"/>
  <c r="H580" i="20"/>
  <c r="I580" i="20" s="1"/>
  <c r="H553" i="20"/>
  <c r="I553" i="20" s="1"/>
  <c r="H589" i="20"/>
  <c r="I589" i="20" s="1"/>
  <c r="G697" i="20"/>
  <c r="H839" i="20"/>
  <c r="I839" i="20" s="1"/>
  <c r="H830" i="20"/>
  <c r="I830" i="20" s="1"/>
  <c r="H843" i="20"/>
  <c r="I843" i="20" s="1"/>
  <c r="H833" i="20"/>
  <c r="I833" i="20" s="1"/>
  <c r="H867" i="20"/>
  <c r="I867" i="20" s="1"/>
  <c r="H855" i="20"/>
  <c r="I855" i="20" s="1"/>
  <c r="H819" i="20"/>
  <c r="H874" i="20"/>
  <c r="I874" i="20" s="1"/>
  <c r="H823" i="20"/>
  <c r="I823" i="20" s="1"/>
  <c r="H835" i="20"/>
  <c r="I835" i="20" s="1"/>
  <c r="H860" i="20"/>
  <c r="I860" i="20" s="1"/>
  <c r="H856" i="20"/>
  <c r="I856" i="20" s="1"/>
  <c r="H825" i="20"/>
  <c r="I825" i="20" s="1"/>
  <c r="H861" i="20"/>
  <c r="I861" i="20" s="1"/>
  <c r="H871" i="20"/>
  <c r="I871" i="20" s="1"/>
  <c r="H863" i="20"/>
  <c r="I863" i="20" s="1"/>
  <c r="H824" i="20"/>
  <c r="I824" i="20" s="1"/>
  <c r="H828" i="20"/>
  <c r="I828" i="20" s="1"/>
  <c r="H832" i="20"/>
  <c r="I832" i="20" s="1"/>
  <c r="H831" i="20"/>
  <c r="I831" i="20" s="1"/>
  <c r="H838" i="20"/>
  <c r="I838" i="20" s="1"/>
  <c r="H820" i="20"/>
  <c r="I820" i="20" s="1"/>
  <c r="H872" i="20"/>
  <c r="I872" i="20" s="1"/>
  <c r="H817" i="20"/>
  <c r="I817" i="20" s="1"/>
  <c r="H841" i="20"/>
  <c r="I841" i="20" s="1"/>
  <c r="H862" i="20"/>
  <c r="I862" i="20" s="1"/>
  <c r="H870" i="20"/>
  <c r="I870" i="20" s="1"/>
  <c r="H848" i="20"/>
  <c r="I848" i="20" s="1"/>
  <c r="H847" i="20"/>
  <c r="I847" i="20" s="1"/>
  <c r="H845" i="20"/>
  <c r="I845" i="20" s="1"/>
  <c r="H859" i="20"/>
  <c r="I859" i="20" s="1"/>
  <c r="H869" i="20"/>
  <c r="I869" i="20" s="1"/>
  <c r="H851" i="20"/>
  <c r="I851" i="20" s="1"/>
  <c r="H827" i="20"/>
  <c r="I827" i="20" s="1"/>
  <c r="H858" i="20"/>
  <c r="I858" i="20" s="1"/>
  <c r="H829" i="20"/>
  <c r="I829" i="20" s="1"/>
  <c r="H836" i="20"/>
  <c r="I836" i="20" s="1"/>
  <c r="H844" i="20"/>
  <c r="I844" i="20" s="1"/>
  <c r="H834" i="20"/>
  <c r="I834" i="20" s="1"/>
  <c r="H849" i="20"/>
  <c r="I849" i="20" s="1"/>
  <c r="H866" i="20"/>
  <c r="I866" i="20" s="1"/>
  <c r="H864" i="20"/>
  <c r="I864" i="20" s="1"/>
  <c r="H852" i="20"/>
  <c r="I852" i="20" s="1"/>
  <c r="H868" i="20"/>
  <c r="I868" i="20" s="1"/>
  <c r="H865" i="20"/>
  <c r="I865" i="20" s="1"/>
  <c r="H837" i="20"/>
  <c r="I837" i="20" s="1"/>
  <c r="H818" i="20"/>
  <c r="I818" i="20" s="1"/>
  <c r="H854" i="20"/>
  <c r="I854" i="20" s="1"/>
  <c r="H873" i="20"/>
  <c r="I873" i="20" s="1"/>
  <c r="H842" i="20"/>
  <c r="I842" i="20" s="1"/>
  <c r="H857" i="20"/>
  <c r="I857" i="20" s="1"/>
  <c r="H821" i="20"/>
  <c r="I821" i="20" s="1"/>
  <c r="H822" i="20"/>
  <c r="I822" i="20" s="1"/>
  <c r="H853" i="20"/>
  <c r="I853" i="20" s="1"/>
  <c r="H846" i="20"/>
  <c r="I846" i="20" s="1"/>
  <c r="H816" i="20"/>
  <c r="I816" i="20" s="1"/>
  <c r="H815" i="20"/>
  <c r="H840" i="20"/>
  <c r="I840" i="20" s="1"/>
  <c r="H850" i="20"/>
  <c r="I850" i="20" s="1"/>
  <c r="H826" i="20"/>
  <c r="I826" i="20" s="1"/>
  <c r="H658" i="20"/>
  <c r="I658" i="20" s="1"/>
  <c r="H690" i="20"/>
  <c r="I690" i="20" s="1"/>
  <c r="H664" i="20"/>
  <c r="I664" i="20" s="1"/>
  <c r="H644" i="20"/>
  <c r="I644" i="20" s="1"/>
  <c r="H638" i="20"/>
  <c r="I638" i="20" s="1"/>
  <c r="H666" i="20"/>
  <c r="I666" i="20" s="1"/>
  <c r="H639" i="20"/>
  <c r="H657" i="20"/>
  <c r="I657" i="20" s="1"/>
  <c r="H665" i="20"/>
  <c r="I665" i="20" s="1"/>
  <c r="H689" i="20"/>
  <c r="I689" i="20" s="1"/>
  <c r="H688" i="20"/>
  <c r="I688" i="20" s="1"/>
  <c r="H655" i="20"/>
  <c r="I655" i="20" s="1"/>
  <c r="H643" i="20"/>
  <c r="I643" i="20" s="1"/>
  <c r="H676" i="20"/>
  <c r="I676" i="20" s="1"/>
  <c r="H693" i="20"/>
  <c r="I693" i="20" s="1"/>
  <c r="H672" i="20"/>
  <c r="I672" i="20" s="1"/>
  <c r="H691" i="20"/>
  <c r="I691" i="20" s="1"/>
  <c r="H685" i="20"/>
  <c r="I685" i="20" s="1"/>
  <c r="H695" i="20"/>
  <c r="I695" i="20" s="1"/>
  <c r="H648" i="20"/>
  <c r="I648" i="20" s="1"/>
  <c r="H646" i="20"/>
  <c r="I646" i="20" s="1"/>
  <c r="H678" i="20"/>
  <c r="I678" i="20" s="1"/>
  <c r="H662" i="20"/>
  <c r="I662" i="20" s="1"/>
  <c r="H696" i="20"/>
  <c r="I696" i="20" s="1"/>
  <c r="H667" i="20"/>
  <c r="I667" i="20" s="1"/>
  <c r="H674" i="20"/>
  <c r="I674" i="20" s="1"/>
  <c r="H647" i="20"/>
  <c r="I647" i="20" s="1"/>
  <c r="H669" i="20"/>
  <c r="I669" i="20" s="1"/>
  <c r="H675" i="20"/>
  <c r="I675" i="20" s="1"/>
  <c r="H684" i="20"/>
  <c r="I684" i="20" s="1"/>
  <c r="H653" i="20"/>
  <c r="I653" i="20" s="1"/>
  <c r="H652" i="20"/>
  <c r="I652" i="20" s="1"/>
  <c r="H692" i="20"/>
  <c r="I692" i="20" s="1"/>
  <c r="H673" i="20"/>
  <c r="I673" i="20" s="1"/>
  <c r="H663" i="20"/>
  <c r="I663" i="20" s="1"/>
  <c r="H640" i="20"/>
  <c r="I640" i="20" s="1"/>
  <c r="H645" i="20"/>
  <c r="I645" i="20" s="1"/>
  <c r="H683" i="20"/>
  <c r="I683" i="20" s="1"/>
  <c r="H686" i="20"/>
  <c r="I686" i="20" s="1"/>
  <c r="H650" i="20"/>
  <c r="I650" i="20" s="1"/>
  <c r="H659" i="20"/>
  <c r="I659" i="20" s="1"/>
  <c r="H670" i="20"/>
  <c r="I670" i="20" s="1"/>
  <c r="H649" i="20"/>
  <c r="I649" i="20" s="1"/>
  <c r="H641" i="20"/>
  <c r="I641" i="20" s="1"/>
  <c r="H668" i="20"/>
  <c r="I668" i="20" s="1"/>
  <c r="H681" i="20"/>
  <c r="I681" i="20" s="1"/>
  <c r="H671" i="20"/>
  <c r="I671" i="20" s="1"/>
  <c r="H661" i="20"/>
  <c r="I661" i="20" s="1"/>
  <c r="H642" i="20"/>
  <c r="I642" i="20" s="1"/>
  <c r="H694" i="20"/>
  <c r="I694" i="20" s="1"/>
  <c r="H651" i="20"/>
  <c r="I651" i="20" s="1"/>
  <c r="H687" i="20"/>
  <c r="I687" i="20" s="1"/>
  <c r="H654" i="20"/>
  <c r="I654" i="20" s="1"/>
  <c r="H677" i="20"/>
  <c r="I677" i="20" s="1"/>
  <c r="H660" i="20"/>
  <c r="I660" i="20" s="1"/>
  <c r="H637" i="20"/>
  <c r="H679" i="20"/>
  <c r="I679" i="20" s="1"/>
  <c r="H680" i="20"/>
  <c r="I680" i="20" s="1"/>
  <c r="H656" i="20"/>
  <c r="I656" i="20" s="1"/>
  <c r="H682" i="20"/>
  <c r="I682" i="20" s="1"/>
  <c r="G964" i="20"/>
  <c r="G875" i="20"/>
  <c r="H102" i="20"/>
  <c r="H112" i="20"/>
  <c r="H121" i="20"/>
  <c r="I121" i="20" s="1"/>
  <c r="H130" i="20"/>
  <c r="I130" i="20" s="1"/>
  <c r="H145" i="20"/>
  <c r="I145" i="20" s="1"/>
  <c r="H160" i="20"/>
  <c r="I160" i="20" s="1"/>
  <c r="H151" i="20"/>
  <c r="I151" i="20" s="1"/>
  <c r="H135" i="20"/>
  <c r="I135" i="20" s="1"/>
  <c r="H133" i="20"/>
  <c r="I133" i="20" s="1"/>
  <c r="H140" i="20"/>
  <c r="I140" i="20" s="1"/>
  <c r="H152" i="20"/>
  <c r="I152" i="20" s="1"/>
  <c r="H127" i="20"/>
  <c r="I127" i="20" s="1"/>
  <c r="H150" i="20"/>
  <c r="I150" i="20" s="1"/>
  <c r="H161" i="20"/>
  <c r="I161" i="20" s="1"/>
  <c r="H117" i="20"/>
  <c r="I117" i="20" s="1"/>
  <c r="H118" i="20"/>
  <c r="I118" i="20" s="1"/>
  <c r="H157" i="20"/>
  <c r="I157" i="20" s="1"/>
  <c r="H147" i="20"/>
  <c r="I147" i="20" s="1"/>
  <c r="H141" i="20"/>
  <c r="I141" i="20" s="1"/>
  <c r="H134" i="20"/>
  <c r="I134" i="20" s="1"/>
  <c r="H106" i="20"/>
  <c r="I106" i="20" s="1"/>
  <c r="H128" i="20"/>
  <c r="I128" i="20" s="1"/>
  <c r="H144" i="20"/>
  <c r="I144" i="20" s="1"/>
  <c r="H116" i="20"/>
  <c r="I116" i="20" s="1"/>
  <c r="H125" i="20"/>
  <c r="I125" i="20" s="1"/>
  <c r="H131" i="20"/>
  <c r="I131" i="20" s="1"/>
  <c r="H124" i="20"/>
  <c r="I124" i="20" s="1"/>
  <c r="H143" i="20"/>
  <c r="I143" i="20" s="1"/>
  <c r="H108" i="20"/>
  <c r="I108" i="20" s="1"/>
  <c r="H159" i="20"/>
  <c r="I159" i="20" s="1"/>
  <c r="H109" i="20"/>
  <c r="I109" i="20" s="1"/>
  <c r="H126" i="20"/>
  <c r="I126" i="20" s="1"/>
  <c r="H153" i="20"/>
  <c r="I153" i="20" s="1"/>
  <c r="H114" i="20"/>
  <c r="I114" i="20" s="1"/>
  <c r="H120" i="20"/>
  <c r="I120" i="20" s="1"/>
  <c r="H158" i="20"/>
  <c r="I158" i="20" s="1"/>
  <c r="H146" i="20"/>
  <c r="I146" i="20" s="1"/>
  <c r="H129" i="20"/>
  <c r="I129" i="20" s="1"/>
  <c r="H115" i="20"/>
  <c r="I115" i="20" s="1"/>
  <c r="H156" i="20"/>
  <c r="I156" i="20" s="1"/>
  <c r="H142" i="20"/>
  <c r="I142" i="20" s="1"/>
  <c r="H149" i="20"/>
  <c r="I149" i="20" s="1"/>
  <c r="H113" i="20"/>
  <c r="I113" i="20" s="1"/>
  <c r="H137" i="20"/>
  <c r="I137" i="20" s="1"/>
  <c r="H138" i="20"/>
  <c r="I138" i="20" s="1"/>
  <c r="H107" i="20"/>
  <c r="I107" i="20" s="1"/>
  <c r="H148" i="20"/>
  <c r="I148" i="20" s="1"/>
  <c r="H119" i="20"/>
  <c r="I119" i="20" s="1"/>
  <c r="H139" i="20"/>
  <c r="I139" i="20" s="1"/>
  <c r="H110" i="20"/>
  <c r="I110" i="20" s="1"/>
  <c r="H123" i="20"/>
  <c r="I123" i="20" s="1"/>
  <c r="H104" i="20"/>
  <c r="I104" i="20" s="1"/>
  <c r="H103" i="20"/>
  <c r="I103" i="20" s="1"/>
  <c r="H155" i="20"/>
  <c r="I155" i="20" s="1"/>
  <c r="H111" i="20"/>
  <c r="I111" i="20" s="1"/>
  <c r="H122" i="20"/>
  <c r="I122" i="20" s="1"/>
  <c r="H154" i="20"/>
  <c r="I154" i="20" s="1"/>
  <c r="H105" i="20"/>
  <c r="I105" i="20" s="1"/>
  <c r="H136" i="20"/>
  <c r="I136" i="20" s="1"/>
  <c r="H132" i="20"/>
  <c r="I132" i="20" s="1"/>
  <c r="G519" i="20"/>
  <c r="I587" i="13" l="1"/>
  <c r="I546" i="13"/>
  <c r="J546" i="13" s="1"/>
  <c r="I534" i="13"/>
  <c r="O534" i="13" s="1"/>
  <c r="P534" i="13" s="1"/>
  <c r="I576" i="13"/>
  <c r="J576" i="13" s="1"/>
  <c r="I565" i="13"/>
  <c r="J565" i="13" s="1"/>
  <c r="I570" i="13"/>
  <c r="J570" i="13" s="1"/>
  <c r="I563" i="13"/>
  <c r="J563" i="13" s="1"/>
  <c r="I579" i="13"/>
  <c r="J579" i="13" s="1"/>
  <c r="I586" i="13"/>
  <c r="J586" i="13" s="1"/>
  <c r="I532" i="13"/>
  <c r="J532" i="13" s="1"/>
  <c r="I571" i="13"/>
  <c r="J571" i="13" s="1"/>
  <c r="I556" i="13"/>
  <c r="J556" i="13" s="1"/>
  <c r="I538" i="13"/>
  <c r="O538" i="13" s="1"/>
  <c r="P538" i="13" s="1"/>
  <c r="I562" i="13"/>
  <c r="J562" i="13" s="1"/>
  <c r="I577" i="13"/>
  <c r="J577" i="13" s="1"/>
  <c r="I581" i="13"/>
  <c r="J581" i="13" s="1"/>
  <c r="I543" i="13"/>
  <c r="J543" i="13" s="1"/>
  <c r="I552" i="13"/>
  <c r="J552" i="13" s="1"/>
  <c r="I533" i="13"/>
  <c r="J533" i="13" s="1"/>
  <c r="I588" i="13"/>
  <c r="J588" i="13" s="1"/>
  <c r="I573" i="13"/>
  <c r="J573" i="13" s="1"/>
  <c r="I547" i="13"/>
  <c r="J547" i="13" s="1"/>
  <c r="I582" i="13"/>
  <c r="J582" i="13" s="1"/>
  <c r="I564" i="13"/>
  <c r="J564" i="13" s="1"/>
  <c r="I537" i="13"/>
  <c r="O537" i="13" s="1"/>
  <c r="P537" i="13" s="1"/>
  <c r="I585" i="13"/>
  <c r="J585" i="13" s="1"/>
  <c r="I540" i="13"/>
  <c r="J540" i="13" s="1"/>
  <c r="I559" i="13"/>
  <c r="J559" i="13" s="1"/>
  <c r="I553" i="13"/>
  <c r="J553" i="13" s="1"/>
  <c r="I572" i="13"/>
  <c r="J572" i="13" s="1"/>
  <c r="I578" i="13"/>
  <c r="J578" i="13" s="1"/>
  <c r="I545" i="13"/>
  <c r="J545" i="13" s="1"/>
  <c r="I554" i="13"/>
  <c r="J554" i="13" s="1"/>
  <c r="I580" i="13"/>
  <c r="J580" i="13" s="1"/>
  <c r="I542" i="13"/>
  <c r="J542" i="13" s="1"/>
  <c r="I548" i="13"/>
  <c r="J548" i="13" s="1"/>
  <c r="I584" i="13"/>
  <c r="J584" i="13" s="1"/>
  <c r="J587" i="13"/>
  <c r="I567" i="13"/>
  <c r="J567" i="13" s="1"/>
  <c r="I536" i="13"/>
  <c r="J536" i="13" s="1"/>
  <c r="I574" i="13"/>
  <c r="J574" i="13" s="1"/>
  <c r="I535" i="13"/>
  <c r="O535" i="13" s="1"/>
  <c r="P535" i="13" s="1"/>
  <c r="I544" i="13"/>
  <c r="J544" i="13" s="1"/>
  <c r="I549" i="13"/>
  <c r="J549" i="13" s="1"/>
  <c r="I555" i="13"/>
  <c r="J555" i="13" s="1"/>
  <c r="I583" i="13"/>
  <c r="J583" i="13" s="1"/>
  <c r="I568" i="13"/>
  <c r="J568" i="13" s="1"/>
  <c r="I541" i="13"/>
  <c r="N521" i="13" s="1"/>
  <c r="I551" i="13"/>
  <c r="J551" i="13" s="1"/>
  <c r="I575" i="13"/>
  <c r="J575" i="13" s="1"/>
  <c r="I566" i="13"/>
  <c r="J566" i="13" s="1"/>
  <c r="I557" i="13"/>
  <c r="J557" i="13" s="1"/>
  <c r="I569" i="13"/>
  <c r="J569" i="13" s="1"/>
  <c r="I560" i="13"/>
  <c r="J560" i="13" s="1"/>
  <c r="I550" i="13"/>
  <c r="J550" i="13" s="1"/>
  <c r="I539" i="13"/>
  <c r="O539" i="13" s="1"/>
  <c r="P539" i="13" s="1"/>
  <c r="I558" i="13"/>
  <c r="J558" i="13" s="1"/>
  <c r="J561" i="13"/>
  <c r="M521" i="13"/>
  <c r="M522" i="13" s="1"/>
  <c r="I1000" i="13"/>
  <c r="J1000" i="13" s="1"/>
  <c r="I1013" i="13"/>
  <c r="J1013" i="13" s="1"/>
  <c r="I1005" i="13"/>
  <c r="J1005" i="13" s="1"/>
  <c r="I970" i="13"/>
  <c r="O970" i="13" s="1"/>
  <c r="P970" i="13" s="1"/>
  <c r="I971" i="13"/>
  <c r="O971" i="13" s="1"/>
  <c r="P971" i="13" s="1"/>
  <c r="I963" i="13"/>
  <c r="J963" i="13" s="1"/>
  <c r="I972" i="13"/>
  <c r="J972" i="13" s="1"/>
  <c r="I966" i="13"/>
  <c r="J966" i="13" s="1"/>
  <c r="I962" i="13"/>
  <c r="J962" i="13" s="1"/>
  <c r="I973" i="13"/>
  <c r="J973" i="13" s="1"/>
  <c r="I997" i="13"/>
  <c r="J997" i="13" s="1"/>
  <c r="I965" i="13"/>
  <c r="J965" i="13" s="1"/>
  <c r="I983" i="13"/>
  <c r="J983" i="13" s="1"/>
  <c r="I976" i="13"/>
  <c r="J976" i="13" s="1"/>
  <c r="I994" i="13"/>
  <c r="J994" i="13" s="1"/>
  <c r="I975" i="13"/>
  <c r="J975" i="13" s="1"/>
  <c r="I1017" i="13"/>
  <c r="J1017" i="13" s="1"/>
  <c r="I1002" i="13"/>
  <c r="J1002" i="13" s="1"/>
  <c r="I985" i="13"/>
  <c r="J985" i="13" s="1"/>
  <c r="I1009" i="13"/>
  <c r="J1009" i="13" s="1"/>
  <c r="I999" i="13"/>
  <c r="J999" i="13" s="1"/>
  <c r="I989" i="13"/>
  <c r="J989" i="13" s="1"/>
  <c r="I978" i="13"/>
  <c r="J978" i="13" s="1"/>
  <c r="I993" i="13"/>
  <c r="J993" i="13" s="1"/>
  <c r="J1014" i="13"/>
  <c r="I1001" i="13"/>
  <c r="J1001" i="13" s="1"/>
  <c r="I998" i="13"/>
  <c r="J998" i="13" s="1"/>
  <c r="I964" i="13"/>
  <c r="J964" i="13" s="1"/>
  <c r="I981" i="13"/>
  <c r="J981" i="13" s="1"/>
  <c r="I979" i="13"/>
  <c r="J979" i="13" s="1"/>
  <c r="I1006" i="13"/>
  <c r="J1006" i="13" s="1"/>
  <c r="I1012" i="13"/>
  <c r="J1012" i="13" s="1"/>
  <c r="I1008" i="13"/>
  <c r="J1008" i="13" s="1"/>
  <c r="I1004" i="13"/>
  <c r="J1004" i="13" s="1"/>
  <c r="I977" i="13"/>
  <c r="J977" i="13" s="1"/>
  <c r="I1007" i="13"/>
  <c r="J1007" i="13" s="1"/>
  <c r="I996" i="13"/>
  <c r="J996" i="13" s="1"/>
  <c r="I1003" i="13"/>
  <c r="J1003" i="13" s="1"/>
  <c r="I969" i="13"/>
  <c r="O969" i="13" s="1"/>
  <c r="P969" i="13" s="1"/>
  <c r="I1016" i="13"/>
  <c r="J1016" i="13" s="1"/>
  <c r="I980" i="13"/>
  <c r="J980" i="13" s="1"/>
  <c r="I974" i="13"/>
  <c r="J974" i="13" s="1"/>
  <c r="I1011" i="13"/>
  <c r="J1011" i="13" s="1"/>
  <c r="I995" i="13"/>
  <c r="J995" i="13" s="1"/>
  <c r="I990" i="13"/>
  <c r="J990" i="13" s="1"/>
  <c r="I987" i="13"/>
  <c r="J987" i="13" s="1"/>
  <c r="I992" i="13"/>
  <c r="J992" i="13" s="1"/>
  <c r="I984" i="13"/>
  <c r="J984" i="13" s="1"/>
  <c r="I988" i="13"/>
  <c r="J988" i="13" s="1"/>
  <c r="I968" i="13"/>
  <c r="O968" i="13" s="1"/>
  <c r="P968" i="13" s="1"/>
  <c r="I1018" i="13"/>
  <c r="J1018" i="13" s="1"/>
  <c r="I982" i="13"/>
  <c r="J982" i="13" s="1"/>
  <c r="I986" i="13"/>
  <c r="J986" i="13" s="1"/>
  <c r="I1010" i="13"/>
  <c r="J1010" i="13" s="1"/>
  <c r="I1019" i="13"/>
  <c r="J1019" i="13" s="1"/>
  <c r="I991" i="13"/>
  <c r="J991" i="13" s="1"/>
  <c r="I1015" i="13"/>
  <c r="J1015" i="13" s="1"/>
  <c r="I967" i="13"/>
  <c r="O967" i="13" s="1"/>
  <c r="P967" i="13" s="1"/>
  <c r="M263" i="13"/>
  <c r="M264" i="13" s="1"/>
  <c r="I302" i="13"/>
  <c r="J302" i="13" s="1"/>
  <c r="I317" i="13"/>
  <c r="J317" i="13" s="1"/>
  <c r="I293" i="13"/>
  <c r="J293" i="13" s="1"/>
  <c r="I274" i="13"/>
  <c r="O274" i="13" s="1"/>
  <c r="P274" i="13" s="1"/>
  <c r="I307" i="13"/>
  <c r="J307" i="13" s="1"/>
  <c r="I323" i="13"/>
  <c r="J323" i="13" s="1"/>
  <c r="I278" i="13"/>
  <c r="J278" i="13" s="1"/>
  <c r="I324" i="13"/>
  <c r="J324" i="13" s="1"/>
  <c r="I279" i="13"/>
  <c r="O279" i="13" s="1"/>
  <c r="P279" i="13" s="1"/>
  <c r="I310" i="13"/>
  <c r="J310" i="13" s="1"/>
  <c r="I283" i="13"/>
  <c r="O283" i="13" s="1"/>
  <c r="P283" i="13" s="1"/>
  <c r="I292" i="13"/>
  <c r="J292" i="13" s="1"/>
  <c r="I311" i="13"/>
  <c r="J311" i="13" s="1"/>
  <c r="I286" i="13"/>
  <c r="J286" i="13" s="1"/>
  <c r="I315" i="13"/>
  <c r="J315" i="13" s="1"/>
  <c r="I321" i="13"/>
  <c r="J321" i="13" s="1"/>
  <c r="I314" i="13"/>
  <c r="J314" i="13" s="1"/>
  <c r="I312" i="13"/>
  <c r="J312" i="13" s="1"/>
  <c r="I296" i="13"/>
  <c r="J296" i="13" s="1"/>
  <c r="I297" i="13"/>
  <c r="J297" i="13" s="1"/>
  <c r="I306" i="13"/>
  <c r="J306" i="13" s="1"/>
  <c r="I280" i="13"/>
  <c r="J280" i="13" s="1"/>
  <c r="I298" i="13"/>
  <c r="J298" i="13" s="1"/>
  <c r="I301" i="13"/>
  <c r="J301" i="13" s="1"/>
  <c r="I299" i="13"/>
  <c r="J299" i="13" s="1"/>
  <c r="I309" i="13"/>
  <c r="J309" i="13" s="1"/>
  <c r="I304" i="13"/>
  <c r="J304" i="13" s="1"/>
  <c r="I282" i="13"/>
  <c r="O282" i="13" s="1"/>
  <c r="P282" i="13" s="1"/>
  <c r="I277" i="13"/>
  <c r="J277" i="13" s="1"/>
  <c r="I320" i="13"/>
  <c r="J320" i="13" s="1"/>
  <c r="I295" i="13"/>
  <c r="J295" i="13" s="1"/>
  <c r="I289" i="13"/>
  <c r="J289" i="13" s="1"/>
  <c r="I284" i="13"/>
  <c r="O284" i="13" s="1"/>
  <c r="P284" i="13" s="1"/>
  <c r="I316" i="13"/>
  <c r="J316" i="13" s="1"/>
  <c r="I291" i="13"/>
  <c r="J291" i="13" s="1"/>
  <c r="I290" i="13"/>
  <c r="J290" i="13" s="1"/>
  <c r="I322" i="13"/>
  <c r="J322" i="13" s="1"/>
  <c r="I287" i="13"/>
  <c r="J287" i="13" s="1"/>
  <c r="I313" i="13"/>
  <c r="J313" i="13" s="1"/>
  <c r="I300" i="13"/>
  <c r="J300" i="13" s="1"/>
  <c r="I305" i="13"/>
  <c r="J305" i="13" s="1"/>
  <c r="I303" i="13"/>
  <c r="J303" i="13" s="1"/>
  <c r="I319" i="13"/>
  <c r="J319" i="13" s="1"/>
  <c r="I288" i="13"/>
  <c r="J288" i="13" s="1"/>
  <c r="I276" i="13"/>
  <c r="J276" i="13" s="1"/>
  <c r="I308" i="13"/>
  <c r="J308" i="13" s="1"/>
  <c r="I318" i="13"/>
  <c r="J318" i="13" s="1"/>
  <c r="I281" i="13"/>
  <c r="J281" i="13" s="1"/>
  <c r="I285" i="13"/>
  <c r="O285" i="13" s="1"/>
  <c r="P285" i="13" s="1"/>
  <c r="I294" i="13"/>
  <c r="J294" i="13" s="1"/>
  <c r="M1123" i="13"/>
  <c r="M1124" i="13" s="1"/>
  <c r="I1134" i="13"/>
  <c r="J1134" i="13" s="1"/>
  <c r="I1184" i="13"/>
  <c r="J1184" i="13" s="1"/>
  <c r="I1167" i="13"/>
  <c r="J1167" i="13" s="1"/>
  <c r="I1170" i="13"/>
  <c r="J1170" i="13" s="1"/>
  <c r="I1267" i="13"/>
  <c r="J1267" i="13" s="1"/>
  <c r="M951" i="13"/>
  <c r="M952" i="13" s="1"/>
  <c r="J488" i="13"/>
  <c r="I809" i="13"/>
  <c r="J809" i="13" s="1"/>
  <c r="I117" i="13"/>
  <c r="O117" i="13" s="1"/>
  <c r="P117" i="13" s="1"/>
  <c r="I133" i="13"/>
  <c r="J133" i="13" s="1"/>
  <c r="I108" i="13"/>
  <c r="O108" i="13" s="1"/>
  <c r="P108" i="13" s="1"/>
  <c r="I109" i="13"/>
  <c r="O109" i="13" s="1"/>
  <c r="P109" i="13" s="1"/>
  <c r="I1153" i="13"/>
  <c r="J1153" i="13" s="1"/>
  <c r="I1154" i="13"/>
  <c r="J1154" i="13" s="1"/>
  <c r="I1149" i="13"/>
  <c r="J1149" i="13" s="1"/>
  <c r="I1190" i="13"/>
  <c r="J1190" i="13" s="1"/>
  <c r="I1271" i="13"/>
  <c r="J1271" i="13" s="1"/>
  <c r="I1164" i="13"/>
  <c r="J1164" i="13" s="1"/>
  <c r="J1243" i="13"/>
  <c r="M1210" i="13"/>
  <c r="M1211" i="13" s="1"/>
  <c r="I917" i="13"/>
  <c r="J917" i="13" s="1"/>
  <c r="I1142" i="13"/>
  <c r="J1142" i="13" s="1"/>
  <c r="I1178" i="13"/>
  <c r="J1178" i="13" s="1"/>
  <c r="I1135" i="13"/>
  <c r="J1135" i="13" s="1"/>
  <c r="I1141" i="13"/>
  <c r="J1141" i="13" s="1"/>
  <c r="I1172" i="13"/>
  <c r="J1172" i="13" s="1"/>
  <c r="I1179" i="13"/>
  <c r="J1179" i="13" s="1"/>
  <c r="I1177" i="13"/>
  <c r="J1177" i="13" s="1"/>
  <c r="I1150" i="13"/>
  <c r="J1150" i="13" s="1"/>
  <c r="I1137" i="13"/>
  <c r="J1137" i="13" s="1"/>
  <c r="I1136" i="13"/>
  <c r="O1136" i="13" s="1"/>
  <c r="P1136" i="13" s="1"/>
  <c r="I1188" i="13"/>
  <c r="J1188" i="13" s="1"/>
  <c r="I1144" i="13"/>
  <c r="J1144" i="13" s="1"/>
  <c r="I1169" i="13"/>
  <c r="J1169" i="13" s="1"/>
  <c r="I1173" i="13"/>
  <c r="J1173" i="13" s="1"/>
  <c r="I1186" i="13"/>
  <c r="J1186" i="13" s="1"/>
  <c r="I1138" i="13"/>
  <c r="O1138" i="13" s="1"/>
  <c r="P1138" i="13" s="1"/>
  <c r="I1159" i="13"/>
  <c r="J1159" i="13" s="1"/>
  <c r="I1156" i="13"/>
  <c r="J1156" i="13" s="1"/>
  <c r="I1183" i="13"/>
  <c r="J1183" i="13" s="1"/>
  <c r="I1185" i="13"/>
  <c r="J1185" i="13" s="1"/>
  <c r="I1187" i="13"/>
  <c r="J1187" i="13" s="1"/>
  <c r="I1146" i="13"/>
  <c r="J1146" i="13" s="1"/>
  <c r="I1147" i="13"/>
  <c r="J1147" i="13" s="1"/>
  <c r="I1160" i="13"/>
  <c r="J1160" i="13" s="1"/>
  <c r="I1247" i="13"/>
  <c r="J1247" i="13" s="1"/>
  <c r="I1168" i="13"/>
  <c r="J1168" i="13" s="1"/>
  <c r="I1161" i="13"/>
  <c r="J1161" i="13" s="1"/>
  <c r="I1174" i="13"/>
  <c r="J1174" i="13" s="1"/>
  <c r="I1176" i="13"/>
  <c r="J1176" i="13" s="1"/>
  <c r="I1139" i="13"/>
  <c r="J1139" i="13" s="1"/>
  <c r="I1264" i="13"/>
  <c r="J1264" i="13" s="1"/>
  <c r="I1182" i="13"/>
  <c r="J1182" i="13" s="1"/>
  <c r="I1180" i="13"/>
  <c r="J1180" i="13" s="1"/>
  <c r="I1155" i="13"/>
  <c r="J1155" i="13" s="1"/>
  <c r="I1191" i="13"/>
  <c r="J1191" i="13" s="1"/>
  <c r="I1223" i="13"/>
  <c r="O1223" i="13" s="1"/>
  <c r="P1223" i="13" s="1"/>
  <c r="I1148" i="13"/>
  <c r="J1148" i="13" s="1"/>
  <c r="I1145" i="13"/>
  <c r="J1145" i="13" s="1"/>
  <c r="I1162" i="13"/>
  <c r="J1162" i="13" s="1"/>
  <c r="I1166" i="13"/>
  <c r="J1166" i="13" s="1"/>
  <c r="I1250" i="13"/>
  <c r="J1250" i="13" s="1"/>
  <c r="I1158" i="13"/>
  <c r="J1158" i="13" s="1"/>
  <c r="I1163" i="13"/>
  <c r="J1163" i="13" s="1"/>
  <c r="I1165" i="13"/>
  <c r="J1165" i="13" s="1"/>
  <c r="I1189" i="13"/>
  <c r="J1189" i="13" s="1"/>
  <c r="I1234" i="13"/>
  <c r="J1234" i="13" s="1"/>
  <c r="I1157" i="13"/>
  <c r="J1157" i="13" s="1"/>
  <c r="I1151" i="13"/>
  <c r="J1151" i="13" s="1"/>
  <c r="I1175" i="13"/>
  <c r="J1175" i="13" s="1"/>
  <c r="I1181" i="13"/>
  <c r="J1181" i="13" s="1"/>
  <c r="I1152" i="13"/>
  <c r="J1152" i="13" s="1"/>
  <c r="I1140" i="13"/>
  <c r="O1140" i="13" s="1"/>
  <c r="P1140" i="13" s="1"/>
  <c r="I1171" i="13"/>
  <c r="J1171" i="13" s="1"/>
  <c r="I1237" i="13"/>
  <c r="J1237" i="13" s="1"/>
  <c r="I381" i="13"/>
  <c r="J381" i="13" s="1"/>
  <c r="I1272" i="13"/>
  <c r="J1272" i="13" s="1"/>
  <c r="I1245" i="13"/>
  <c r="J1245" i="13" s="1"/>
  <c r="I1252" i="13"/>
  <c r="J1252" i="13" s="1"/>
  <c r="I1231" i="13"/>
  <c r="J1231" i="13" s="1"/>
  <c r="I1236" i="13"/>
  <c r="J1236" i="13" s="1"/>
  <c r="I1239" i="13"/>
  <c r="J1239" i="13" s="1"/>
  <c r="J910" i="13"/>
  <c r="I1228" i="13"/>
  <c r="O1228" i="13" s="1"/>
  <c r="P1228" i="13" s="1"/>
  <c r="I1274" i="13"/>
  <c r="J1274" i="13" s="1"/>
  <c r="I1248" i="13"/>
  <c r="J1248" i="13" s="1"/>
  <c r="I1229" i="13"/>
  <c r="J1229" i="13" s="1"/>
  <c r="I884" i="13"/>
  <c r="J884" i="13" s="1"/>
  <c r="I382" i="13"/>
  <c r="J382" i="13" s="1"/>
  <c r="I1260" i="13"/>
  <c r="J1260" i="13" s="1"/>
  <c r="I1257" i="13"/>
  <c r="J1257" i="13" s="1"/>
  <c r="I360" i="13"/>
  <c r="O360" i="13" s="1"/>
  <c r="P360" i="13" s="1"/>
  <c r="I1270" i="13"/>
  <c r="J1270" i="13" s="1"/>
  <c r="I1230" i="13"/>
  <c r="J1230" i="13" s="1"/>
  <c r="I1238" i="13"/>
  <c r="J1238" i="13" s="1"/>
  <c r="I1221" i="13"/>
  <c r="J1221" i="13" s="1"/>
  <c r="I893" i="13"/>
  <c r="J893" i="13" s="1"/>
  <c r="J836" i="13"/>
  <c r="I375" i="13"/>
  <c r="J375" i="13" s="1"/>
  <c r="I395" i="13"/>
  <c r="J395" i="13" s="1"/>
  <c r="I1244" i="13"/>
  <c r="J1244" i="13" s="1"/>
  <c r="I1241" i="13"/>
  <c r="J1241" i="13" s="1"/>
  <c r="I1222" i="13"/>
  <c r="J1222" i="13" s="1"/>
  <c r="I365" i="13"/>
  <c r="J365" i="13" s="1"/>
  <c r="I1261" i="13"/>
  <c r="J1261" i="13" s="1"/>
  <c r="I1256" i="13"/>
  <c r="J1256" i="13" s="1"/>
  <c r="I1266" i="13"/>
  <c r="J1266" i="13" s="1"/>
  <c r="I1277" i="13"/>
  <c r="J1277" i="13" s="1"/>
  <c r="I1246" i="13"/>
  <c r="J1246" i="13" s="1"/>
  <c r="I881" i="13"/>
  <c r="O881" i="13" s="1"/>
  <c r="P881" i="13" s="1"/>
  <c r="I369" i="13"/>
  <c r="J369" i="13" s="1"/>
  <c r="I1235" i="13"/>
  <c r="J1235" i="13" s="1"/>
  <c r="I1262" i="13"/>
  <c r="J1262" i="13" s="1"/>
  <c r="I1258" i="13"/>
  <c r="J1258" i="13" s="1"/>
  <c r="I1233" i="13"/>
  <c r="J1233" i="13" s="1"/>
  <c r="I378" i="13"/>
  <c r="J378" i="13" s="1"/>
  <c r="I1263" i="13"/>
  <c r="J1263" i="13" s="1"/>
  <c r="I1251" i="13"/>
  <c r="J1251" i="13" s="1"/>
  <c r="I1259" i="13"/>
  <c r="J1259" i="13" s="1"/>
  <c r="I404" i="13"/>
  <c r="J404" i="13" s="1"/>
  <c r="I1249" i="13"/>
  <c r="J1249" i="13" s="1"/>
  <c r="I385" i="13"/>
  <c r="J385" i="13" s="1"/>
  <c r="I1227" i="13"/>
  <c r="J1227" i="13" s="1"/>
  <c r="I1265" i="13"/>
  <c r="J1265" i="13" s="1"/>
  <c r="I1273" i="13"/>
  <c r="J1273" i="13" s="1"/>
  <c r="I1226" i="13"/>
  <c r="J1226" i="13" s="1"/>
  <c r="I408" i="13"/>
  <c r="J408" i="13" s="1"/>
  <c r="J722" i="13"/>
  <c r="I1276" i="13"/>
  <c r="J1276" i="13" s="1"/>
  <c r="I1255" i="13"/>
  <c r="J1255" i="13" s="1"/>
  <c r="I1225" i="13"/>
  <c r="O1225" i="13" s="1"/>
  <c r="P1225" i="13" s="1"/>
  <c r="I1268" i="13"/>
  <c r="J1268" i="13" s="1"/>
  <c r="I1253" i="13"/>
  <c r="J1253" i="13" s="1"/>
  <c r="I1232" i="13"/>
  <c r="J1232" i="13" s="1"/>
  <c r="I1224" i="13"/>
  <c r="O1224" i="13" s="1"/>
  <c r="P1224" i="13" s="1"/>
  <c r="I1254" i="13"/>
  <c r="J1254" i="13" s="1"/>
  <c r="I373" i="13"/>
  <c r="J373" i="13" s="1"/>
  <c r="I1242" i="13"/>
  <c r="J1242" i="13" s="1"/>
  <c r="I1240" i="13"/>
  <c r="J1240" i="13" s="1"/>
  <c r="I1275" i="13"/>
  <c r="J1275" i="13" s="1"/>
  <c r="I1269" i="13"/>
  <c r="J1269" i="13" s="1"/>
  <c r="I1278" i="13"/>
  <c r="J1278" i="13" s="1"/>
  <c r="I388" i="13"/>
  <c r="J388" i="13" s="1"/>
  <c r="J1143" i="13"/>
  <c r="I931" i="13"/>
  <c r="J931" i="13" s="1"/>
  <c r="I876" i="13"/>
  <c r="J876" i="13" s="1"/>
  <c r="M865" i="13"/>
  <c r="M866" i="13" s="1"/>
  <c r="I890" i="13"/>
  <c r="J890" i="13" s="1"/>
  <c r="I902" i="13"/>
  <c r="J902" i="13" s="1"/>
  <c r="I916" i="13"/>
  <c r="J916" i="13" s="1"/>
  <c r="I886" i="13"/>
  <c r="J886" i="13" s="1"/>
  <c r="I822" i="13"/>
  <c r="J822" i="13" s="1"/>
  <c r="I913" i="13"/>
  <c r="J913" i="13" s="1"/>
  <c r="I882" i="13"/>
  <c r="O882" i="13" s="1"/>
  <c r="P882" i="13" s="1"/>
  <c r="I914" i="13"/>
  <c r="J914" i="13" s="1"/>
  <c r="I883" i="13"/>
  <c r="O883" i="13" s="1"/>
  <c r="P883" i="13" s="1"/>
  <c r="I879" i="13"/>
  <c r="J879" i="13" s="1"/>
  <c r="I898" i="13"/>
  <c r="J898" i="13" s="1"/>
  <c r="I923" i="13"/>
  <c r="J923" i="13" s="1"/>
  <c r="I801" i="13"/>
  <c r="J801" i="13" s="1"/>
  <c r="I912" i="13"/>
  <c r="J912" i="13" s="1"/>
  <c r="I932" i="13"/>
  <c r="J932" i="13" s="1"/>
  <c r="I919" i="13"/>
  <c r="J919" i="13" s="1"/>
  <c r="I891" i="13"/>
  <c r="J891" i="13" s="1"/>
  <c r="I903" i="13"/>
  <c r="J903" i="13" s="1"/>
  <c r="I922" i="13"/>
  <c r="J922" i="13" s="1"/>
  <c r="I877" i="13"/>
  <c r="O877" i="13" s="1"/>
  <c r="P877" i="13" s="1"/>
  <c r="I927" i="13"/>
  <c r="J927" i="13" s="1"/>
  <c r="I924" i="13"/>
  <c r="J924" i="13" s="1"/>
  <c r="I930" i="13"/>
  <c r="J930" i="13" s="1"/>
  <c r="I878" i="13"/>
  <c r="O878" i="13" s="1"/>
  <c r="P878" i="13" s="1"/>
  <c r="I899" i="13"/>
  <c r="J899" i="13" s="1"/>
  <c r="I929" i="13"/>
  <c r="J929" i="13" s="1"/>
  <c r="I907" i="13"/>
  <c r="J907" i="13" s="1"/>
  <c r="I887" i="13"/>
  <c r="J887" i="13" s="1"/>
  <c r="I918" i="13"/>
  <c r="J918" i="13" s="1"/>
  <c r="I925" i="13"/>
  <c r="J925" i="13" s="1"/>
  <c r="I897" i="13"/>
  <c r="J897" i="13" s="1"/>
  <c r="I908" i="13"/>
  <c r="J908" i="13" s="1"/>
  <c r="I920" i="13"/>
  <c r="J920" i="13" s="1"/>
  <c r="I894" i="13"/>
  <c r="J894" i="13" s="1"/>
  <c r="I880" i="13"/>
  <c r="O880" i="13" s="1"/>
  <c r="P880" i="13" s="1"/>
  <c r="I888" i="13"/>
  <c r="J888" i="13" s="1"/>
  <c r="I885" i="13"/>
  <c r="N865" i="13" s="1"/>
  <c r="I896" i="13"/>
  <c r="J896" i="13" s="1"/>
  <c r="I915" i="13"/>
  <c r="J915" i="13" s="1"/>
  <c r="I841" i="13"/>
  <c r="J841" i="13" s="1"/>
  <c r="I911" i="13"/>
  <c r="J911" i="13" s="1"/>
  <c r="I895" i="13"/>
  <c r="J895" i="13" s="1"/>
  <c r="I906" i="13"/>
  <c r="J906" i="13" s="1"/>
  <c r="I905" i="13"/>
  <c r="J905" i="13" s="1"/>
  <c r="I901" i="13"/>
  <c r="J901" i="13" s="1"/>
  <c r="I889" i="13"/>
  <c r="J889" i="13" s="1"/>
  <c r="I838" i="13"/>
  <c r="J838" i="13" s="1"/>
  <c r="M779" i="13"/>
  <c r="M780" i="13" s="1"/>
  <c r="I845" i="13"/>
  <c r="J845" i="13" s="1"/>
  <c r="I933" i="13"/>
  <c r="J933" i="13" s="1"/>
  <c r="I900" i="13"/>
  <c r="J900" i="13" s="1"/>
  <c r="I926" i="13"/>
  <c r="J926" i="13" s="1"/>
  <c r="I904" i="13"/>
  <c r="J904" i="13" s="1"/>
  <c r="I921" i="13"/>
  <c r="J921" i="13" s="1"/>
  <c r="I928" i="13"/>
  <c r="J928" i="13" s="1"/>
  <c r="I892" i="13"/>
  <c r="J892" i="13" s="1"/>
  <c r="I909" i="13"/>
  <c r="J909" i="13" s="1"/>
  <c r="I813" i="13"/>
  <c r="J813" i="13" s="1"/>
  <c r="I806" i="13"/>
  <c r="J806" i="13" s="1"/>
  <c r="I832" i="13"/>
  <c r="J832" i="13" s="1"/>
  <c r="I799" i="13"/>
  <c r="J799" i="13" s="1"/>
  <c r="I818" i="13"/>
  <c r="J818" i="13" s="1"/>
  <c r="I798" i="13"/>
  <c r="O798" i="13" s="1"/>
  <c r="P798" i="13" s="1"/>
  <c r="I797" i="13"/>
  <c r="O797" i="13" s="1"/>
  <c r="P797" i="13" s="1"/>
  <c r="I819" i="13"/>
  <c r="J819" i="13" s="1"/>
  <c r="I659" i="13"/>
  <c r="J659" i="13" s="1"/>
  <c r="I812" i="13"/>
  <c r="J812" i="13" s="1"/>
  <c r="J748" i="13"/>
  <c r="I650" i="13"/>
  <c r="J650" i="13" s="1"/>
  <c r="I831" i="13"/>
  <c r="J831" i="13" s="1"/>
  <c r="I621" i="13"/>
  <c r="J621" i="13" s="1"/>
  <c r="I800" i="13"/>
  <c r="J800" i="13" s="1"/>
  <c r="I795" i="13"/>
  <c r="J795" i="13" s="1"/>
  <c r="I823" i="13"/>
  <c r="J823" i="13" s="1"/>
  <c r="I814" i="13"/>
  <c r="J814" i="13" s="1"/>
  <c r="I805" i="13"/>
  <c r="J805" i="13" s="1"/>
  <c r="I829" i="13"/>
  <c r="J829" i="13" s="1"/>
  <c r="I802" i="13"/>
  <c r="J802" i="13" s="1"/>
  <c r="I790" i="13"/>
  <c r="J790" i="13" s="1"/>
  <c r="I803" i="13"/>
  <c r="J803" i="13" s="1"/>
  <c r="I839" i="13"/>
  <c r="J839" i="13" s="1"/>
  <c r="I796" i="13"/>
  <c r="O796" i="13" s="1"/>
  <c r="P796" i="13" s="1"/>
  <c r="I826" i="13"/>
  <c r="J826" i="13" s="1"/>
  <c r="I811" i="13"/>
  <c r="J811" i="13" s="1"/>
  <c r="I830" i="13"/>
  <c r="J830" i="13" s="1"/>
  <c r="I817" i="13"/>
  <c r="J817" i="13" s="1"/>
  <c r="I828" i="13"/>
  <c r="J828" i="13" s="1"/>
  <c r="I842" i="13"/>
  <c r="J842" i="13" s="1"/>
  <c r="I808" i="13"/>
  <c r="J808" i="13" s="1"/>
  <c r="I843" i="13"/>
  <c r="J843" i="13" s="1"/>
  <c r="I837" i="13"/>
  <c r="J837" i="13" s="1"/>
  <c r="I833" i="13"/>
  <c r="J833" i="13" s="1"/>
  <c r="I827" i="13"/>
  <c r="J827" i="13" s="1"/>
  <c r="I794" i="13"/>
  <c r="O794" i="13" s="1"/>
  <c r="P794" i="13" s="1"/>
  <c r="I791" i="13"/>
  <c r="O791" i="13" s="1"/>
  <c r="P791" i="13" s="1"/>
  <c r="I804" i="13"/>
  <c r="J804" i="13" s="1"/>
  <c r="I807" i="13"/>
  <c r="J807" i="13" s="1"/>
  <c r="I824" i="13"/>
  <c r="J824" i="13" s="1"/>
  <c r="I834" i="13"/>
  <c r="J834" i="13" s="1"/>
  <c r="I847" i="13"/>
  <c r="J847" i="13" s="1"/>
  <c r="I792" i="13"/>
  <c r="O792" i="13" s="1"/>
  <c r="P792" i="13" s="1"/>
  <c r="I846" i="13"/>
  <c r="J846" i="13" s="1"/>
  <c r="I820" i="13"/>
  <c r="J820" i="13" s="1"/>
  <c r="I840" i="13"/>
  <c r="J840" i="13" s="1"/>
  <c r="I815" i="13"/>
  <c r="J815" i="13" s="1"/>
  <c r="I825" i="13"/>
  <c r="J825" i="13" s="1"/>
  <c r="I821" i="13"/>
  <c r="J821" i="13" s="1"/>
  <c r="I810" i="13"/>
  <c r="J810" i="13" s="1"/>
  <c r="J719" i="13"/>
  <c r="I675" i="13"/>
  <c r="J675" i="13" s="1"/>
  <c r="I672" i="13"/>
  <c r="J672" i="13" s="1"/>
  <c r="J737" i="13"/>
  <c r="J716" i="13"/>
  <c r="I643" i="13"/>
  <c r="J643" i="13" s="1"/>
  <c r="I241" i="13"/>
  <c r="J241" i="13" s="1"/>
  <c r="I636" i="13"/>
  <c r="J636" i="13" s="1"/>
  <c r="J759" i="13"/>
  <c r="J744" i="13"/>
  <c r="J656" i="13"/>
  <c r="M607" i="13"/>
  <c r="M608" i="13" s="1"/>
  <c r="I104" i="13"/>
  <c r="J104" i="13" s="1"/>
  <c r="I406" i="13"/>
  <c r="J406" i="13" s="1"/>
  <c r="I379" i="13"/>
  <c r="J379" i="13" s="1"/>
  <c r="I414" i="13"/>
  <c r="J414" i="13" s="1"/>
  <c r="I401" i="13"/>
  <c r="J401" i="13" s="1"/>
  <c r="I397" i="13"/>
  <c r="J397" i="13" s="1"/>
  <c r="I119" i="13"/>
  <c r="N91" i="13" s="1"/>
  <c r="I102" i="13"/>
  <c r="J102" i="13" s="1"/>
  <c r="I129" i="13"/>
  <c r="J129" i="13" s="1"/>
  <c r="I122" i="13"/>
  <c r="J122" i="13" s="1"/>
  <c r="I380" i="13"/>
  <c r="J380" i="13" s="1"/>
  <c r="I370" i="13"/>
  <c r="O370" i="13" s="1"/>
  <c r="P370" i="13" s="1"/>
  <c r="I402" i="13"/>
  <c r="J402" i="13" s="1"/>
  <c r="I377" i="13"/>
  <c r="J377" i="13" s="1"/>
  <c r="I136" i="13"/>
  <c r="J136" i="13" s="1"/>
  <c r="I157" i="13"/>
  <c r="J157" i="13" s="1"/>
  <c r="I149" i="13"/>
  <c r="J149" i="13" s="1"/>
  <c r="I131" i="13"/>
  <c r="J131" i="13" s="1"/>
  <c r="J753" i="13"/>
  <c r="I145" i="13"/>
  <c r="J145" i="13" s="1"/>
  <c r="I130" i="13"/>
  <c r="J130" i="13" s="1"/>
  <c r="I150" i="13"/>
  <c r="J150" i="13" s="1"/>
  <c r="I409" i="13"/>
  <c r="J409" i="13" s="1"/>
  <c r="I386" i="13"/>
  <c r="J386" i="13" s="1"/>
  <c r="I413" i="13"/>
  <c r="J413" i="13" s="1"/>
  <c r="I400" i="13"/>
  <c r="J400" i="13" s="1"/>
  <c r="I137" i="13"/>
  <c r="J137" i="13" s="1"/>
  <c r="I113" i="13"/>
  <c r="O113" i="13" s="1"/>
  <c r="P113" i="13" s="1"/>
  <c r="I112" i="13"/>
  <c r="J112" i="13" s="1"/>
  <c r="I144" i="13"/>
  <c r="J144" i="13" s="1"/>
  <c r="I110" i="13"/>
  <c r="O110" i="13" s="1"/>
  <c r="P110" i="13" s="1"/>
  <c r="I367" i="13"/>
  <c r="O367" i="13" s="1"/>
  <c r="P367" i="13" s="1"/>
  <c r="I393" i="13"/>
  <c r="J393" i="13" s="1"/>
  <c r="I405" i="13"/>
  <c r="J405" i="13" s="1"/>
  <c r="I389" i="13"/>
  <c r="J389" i="13" s="1"/>
  <c r="I390" i="13"/>
  <c r="J390" i="13" s="1"/>
  <c r="I124" i="13"/>
  <c r="J124" i="13" s="1"/>
  <c r="I111" i="13"/>
  <c r="J111" i="13" s="1"/>
  <c r="I158" i="13"/>
  <c r="J158" i="13" s="1"/>
  <c r="I154" i="13"/>
  <c r="J154" i="13" s="1"/>
  <c r="I127" i="13"/>
  <c r="J127" i="13" s="1"/>
  <c r="I155" i="13"/>
  <c r="J155" i="13" s="1"/>
  <c r="I362" i="13"/>
  <c r="J362" i="13" s="1"/>
  <c r="I152" i="13"/>
  <c r="J152" i="13" s="1"/>
  <c r="I128" i="13"/>
  <c r="J128" i="13" s="1"/>
  <c r="I143" i="13"/>
  <c r="J143" i="13" s="1"/>
  <c r="I115" i="13"/>
  <c r="J115" i="13" s="1"/>
  <c r="I118" i="13"/>
  <c r="O118" i="13" s="1"/>
  <c r="P118" i="13" s="1"/>
  <c r="I417" i="13"/>
  <c r="J417" i="13" s="1"/>
  <c r="I407" i="13"/>
  <c r="J407" i="13" s="1"/>
  <c r="I391" i="13"/>
  <c r="J391" i="13" s="1"/>
  <c r="I416" i="13"/>
  <c r="J416" i="13" s="1"/>
  <c r="I106" i="13"/>
  <c r="O106" i="13" s="1"/>
  <c r="P106" i="13" s="1"/>
  <c r="I139" i="13"/>
  <c r="J139" i="13" s="1"/>
  <c r="I107" i="13"/>
  <c r="J107" i="13" s="1"/>
  <c r="I148" i="13"/>
  <c r="J148" i="13" s="1"/>
  <c r="I412" i="13"/>
  <c r="J412" i="13" s="1"/>
  <c r="I415" i="13"/>
  <c r="J415" i="13" s="1"/>
  <c r="I398" i="13"/>
  <c r="J398" i="13" s="1"/>
  <c r="I383" i="13"/>
  <c r="J383" i="13" s="1"/>
  <c r="I105" i="13"/>
  <c r="O105" i="13" s="1"/>
  <c r="P105" i="13" s="1"/>
  <c r="I125" i="13"/>
  <c r="J125" i="13" s="1"/>
  <c r="I121" i="13"/>
  <c r="J121" i="13" s="1"/>
  <c r="I126" i="13"/>
  <c r="J126" i="13" s="1"/>
  <c r="I366" i="13"/>
  <c r="J366" i="13" s="1"/>
  <c r="I399" i="13"/>
  <c r="J399" i="13" s="1"/>
  <c r="I384" i="13"/>
  <c r="J384" i="13" s="1"/>
  <c r="I372" i="13"/>
  <c r="J372" i="13" s="1"/>
  <c r="I134" i="13"/>
  <c r="J134" i="13" s="1"/>
  <c r="I138" i="13"/>
  <c r="J138" i="13" s="1"/>
  <c r="I140" i="13"/>
  <c r="J140" i="13" s="1"/>
  <c r="I132" i="13"/>
  <c r="J132" i="13" s="1"/>
  <c r="I411" i="13"/>
  <c r="J411" i="13" s="1"/>
  <c r="I361" i="13"/>
  <c r="J361" i="13" s="1"/>
  <c r="I376" i="13"/>
  <c r="J376" i="13" s="1"/>
  <c r="I403" i="13"/>
  <c r="J403" i="13" s="1"/>
  <c r="I142" i="13"/>
  <c r="J142" i="13" s="1"/>
  <c r="I141" i="13"/>
  <c r="J141" i="13" s="1"/>
  <c r="I147" i="13"/>
  <c r="J147" i="13" s="1"/>
  <c r="I146" i="13"/>
  <c r="J146" i="13" s="1"/>
  <c r="I371" i="13"/>
  <c r="N349" i="13" s="1"/>
  <c r="I120" i="13"/>
  <c r="J120" i="13" s="1"/>
  <c r="I114" i="13"/>
  <c r="O114" i="13" s="1"/>
  <c r="P114" i="13" s="1"/>
  <c r="I156" i="13"/>
  <c r="J156" i="13" s="1"/>
  <c r="I116" i="13"/>
  <c r="J116" i="13" s="1"/>
  <c r="I135" i="13"/>
  <c r="J135" i="13" s="1"/>
  <c r="I159" i="13"/>
  <c r="J159" i="13" s="1"/>
  <c r="I410" i="13"/>
  <c r="J410" i="13" s="1"/>
  <c r="I364" i="13"/>
  <c r="J364" i="13" s="1"/>
  <c r="I394" i="13"/>
  <c r="J394" i="13" s="1"/>
  <c r="I363" i="13"/>
  <c r="O363" i="13" s="1"/>
  <c r="P363" i="13" s="1"/>
  <c r="I392" i="13"/>
  <c r="J392" i="13" s="1"/>
  <c r="I374" i="13"/>
  <c r="J374" i="13" s="1"/>
  <c r="I396" i="13"/>
  <c r="J396" i="13" s="1"/>
  <c r="I368" i="13"/>
  <c r="O368" i="13" s="1"/>
  <c r="P368" i="13" s="1"/>
  <c r="I103" i="13"/>
  <c r="O103" i="13" s="1"/>
  <c r="P103" i="13" s="1"/>
  <c r="I123" i="13"/>
  <c r="J123" i="13" s="1"/>
  <c r="I153" i="13"/>
  <c r="J153" i="13" s="1"/>
  <c r="J745" i="13"/>
  <c r="I660" i="13"/>
  <c r="J660" i="13" s="1"/>
  <c r="J718" i="13"/>
  <c r="I651" i="13"/>
  <c r="J651" i="13" s="1"/>
  <c r="I674" i="13"/>
  <c r="J674" i="13" s="1"/>
  <c r="I623" i="13"/>
  <c r="O623" i="13" s="1"/>
  <c r="P623" i="13" s="1"/>
  <c r="I640" i="13"/>
  <c r="J640" i="13" s="1"/>
  <c r="I644" i="13"/>
  <c r="J644" i="13" s="1"/>
  <c r="I619" i="13"/>
  <c r="J619" i="13" s="1"/>
  <c r="I673" i="13"/>
  <c r="J673" i="13" s="1"/>
  <c r="I620" i="13"/>
  <c r="J620" i="13" s="1"/>
  <c r="I646" i="13"/>
  <c r="J646" i="13" s="1"/>
  <c r="I628" i="13"/>
  <c r="J628" i="13" s="1"/>
  <c r="I624" i="13"/>
  <c r="J624" i="13" s="1"/>
  <c r="I669" i="13"/>
  <c r="J669" i="13" s="1"/>
  <c r="I661" i="13"/>
  <c r="J661" i="13" s="1"/>
  <c r="I633" i="13"/>
  <c r="J633" i="13" s="1"/>
  <c r="J729" i="13"/>
  <c r="I645" i="13"/>
  <c r="J645" i="13" s="1"/>
  <c r="I666" i="13"/>
  <c r="J666" i="13" s="1"/>
  <c r="I630" i="13"/>
  <c r="J630" i="13" s="1"/>
  <c r="I635" i="13"/>
  <c r="J635" i="13" s="1"/>
  <c r="I664" i="13"/>
  <c r="J664" i="13" s="1"/>
  <c r="I629" i="13"/>
  <c r="J629" i="13" s="1"/>
  <c r="I668" i="13"/>
  <c r="J668" i="13" s="1"/>
  <c r="I658" i="13"/>
  <c r="J658" i="13" s="1"/>
  <c r="I665" i="13"/>
  <c r="J665" i="13" s="1"/>
  <c r="I652" i="13"/>
  <c r="J652" i="13" s="1"/>
  <c r="I653" i="13"/>
  <c r="J653" i="13" s="1"/>
  <c r="I631" i="13"/>
  <c r="J631" i="13" s="1"/>
  <c r="I627" i="13"/>
  <c r="J627" i="13" s="1"/>
  <c r="J736" i="13"/>
  <c r="I648" i="13"/>
  <c r="J648" i="13" s="1"/>
  <c r="I671" i="13"/>
  <c r="J671" i="13" s="1"/>
  <c r="I655" i="13"/>
  <c r="J655" i="13" s="1"/>
  <c r="I662" i="13"/>
  <c r="J662" i="13" s="1"/>
  <c r="I634" i="13"/>
  <c r="J634" i="13" s="1"/>
  <c r="I632" i="13"/>
  <c r="J632" i="13" s="1"/>
  <c r="M693" i="13"/>
  <c r="M694" i="13" s="1"/>
  <c r="I667" i="13"/>
  <c r="J667" i="13" s="1"/>
  <c r="I649" i="13"/>
  <c r="J649" i="13" s="1"/>
  <c r="I639" i="13"/>
  <c r="J639" i="13" s="1"/>
  <c r="I618" i="13"/>
  <c r="O618" i="13" s="1"/>
  <c r="P618" i="13" s="1"/>
  <c r="I663" i="13"/>
  <c r="J663" i="13" s="1"/>
  <c r="I625" i="13"/>
  <c r="J625" i="13" s="1"/>
  <c r="I637" i="13"/>
  <c r="J637" i="13" s="1"/>
  <c r="I654" i="13"/>
  <c r="J654" i="13" s="1"/>
  <c r="I657" i="13"/>
  <c r="J657" i="13" s="1"/>
  <c r="I642" i="13"/>
  <c r="J642" i="13" s="1"/>
  <c r="I647" i="13"/>
  <c r="J647" i="13" s="1"/>
  <c r="I626" i="13"/>
  <c r="O626" i="13" s="1"/>
  <c r="P626" i="13" s="1"/>
  <c r="I638" i="13"/>
  <c r="J638" i="13" s="1"/>
  <c r="I670" i="13"/>
  <c r="J670" i="13" s="1"/>
  <c r="I641" i="13"/>
  <c r="J641" i="13" s="1"/>
  <c r="I622" i="13"/>
  <c r="O622" i="13" s="1"/>
  <c r="P622" i="13" s="1"/>
  <c r="J746" i="13"/>
  <c r="J740" i="13"/>
  <c r="J715" i="13"/>
  <c r="J732" i="13"/>
  <c r="J733" i="13"/>
  <c r="J756" i="13"/>
  <c r="J151" i="13"/>
  <c r="J741" i="13"/>
  <c r="J755" i="13"/>
  <c r="J728" i="13"/>
  <c r="J752" i="13"/>
  <c r="I844" i="13"/>
  <c r="J844" i="13" s="1"/>
  <c r="I835" i="13"/>
  <c r="J835" i="13" s="1"/>
  <c r="I793" i="13"/>
  <c r="O793" i="13" s="1"/>
  <c r="P793" i="13" s="1"/>
  <c r="I816" i="13"/>
  <c r="J816" i="13" s="1"/>
  <c r="J721" i="13"/>
  <c r="J758" i="13"/>
  <c r="J747" i="13"/>
  <c r="J735" i="13"/>
  <c r="J743" i="13"/>
  <c r="J717" i="13"/>
  <c r="J720" i="13"/>
  <c r="J742" i="13"/>
  <c r="J730" i="13"/>
  <c r="J731" i="13"/>
  <c r="J761" i="13"/>
  <c r="M91" i="13"/>
  <c r="M92" i="13" s="1"/>
  <c r="I206" i="13"/>
  <c r="J206" i="13" s="1"/>
  <c r="J725" i="13"/>
  <c r="J727" i="13"/>
  <c r="I225" i="13"/>
  <c r="J225" i="13" s="1"/>
  <c r="I1057" i="13"/>
  <c r="J1057" i="13" s="1"/>
  <c r="I1071" i="13"/>
  <c r="J1071" i="13" s="1"/>
  <c r="I1096" i="13"/>
  <c r="J1096" i="13" s="1"/>
  <c r="I201" i="13"/>
  <c r="O201" i="13" s="1"/>
  <c r="P201" i="13" s="1"/>
  <c r="I1086" i="13"/>
  <c r="J1086" i="13" s="1"/>
  <c r="I1066" i="13"/>
  <c r="J1066" i="13" s="1"/>
  <c r="I1069" i="13"/>
  <c r="J1069" i="13" s="1"/>
  <c r="I1053" i="13"/>
  <c r="O1053" i="13" s="1"/>
  <c r="P1053" i="13" s="1"/>
  <c r="I1048" i="13"/>
  <c r="J1048" i="13" s="1"/>
  <c r="I1076" i="13"/>
  <c r="J1076" i="13" s="1"/>
  <c r="I1054" i="13"/>
  <c r="J1054" i="13" s="1"/>
  <c r="I1050" i="13"/>
  <c r="J1050" i="13" s="1"/>
  <c r="I1055" i="13"/>
  <c r="J1055" i="13" s="1"/>
  <c r="I1067" i="13"/>
  <c r="J1067" i="13" s="1"/>
  <c r="I1104" i="13"/>
  <c r="J1104" i="13" s="1"/>
  <c r="I1084" i="13"/>
  <c r="J1084" i="13" s="1"/>
  <c r="I1098" i="13"/>
  <c r="J1098" i="13" s="1"/>
  <c r="I1087" i="13"/>
  <c r="J1087" i="13" s="1"/>
  <c r="I1090" i="13"/>
  <c r="J1090" i="13" s="1"/>
  <c r="I1061" i="13"/>
  <c r="J1061" i="13" s="1"/>
  <c r="I1093" i="13"/>
  <c r="J1093" i="13" s="1"/>
  <c r="I1089" i="13"/>
  <c r="J1089" i="13" s="1"/>
  <c r="I1094" i="13"/>
  <c r="J1094" i="13" s="1"/>
  <c r="I1073" i="13"/>
  <c r="J1073" i="13" s="1"/>
  <c r="I1074" i="13"/>
  <c r="J1074" i="13" s="1"/>
  <c r="I1072" i="13"/>
  <c r="J1072" i="13" s="1"/>
  <c r="I1099" i="13"/>
  <c r="J1099" i="13" s="1"/>
  <c r="I1095" i="13"/>
  <c r="J1095" i="13" s="1"/>
  <c r="I1049" i="13"/>
  <c r="O1049" i="13" s="1"/>
  <c r="P1049" i="13" s="1"/>
  <c r="I1101" i="13"/>
  <c r="J1101" i="13" s="1"/>
  <c r="I1070" i="13"/>
  <c r="J1070" i="13" s="1"/>
  <c r="I1063" i="13"/>
  <c r="J1063" i="13" s="1"/>
  <c r="I1103" i="13"/>
  <c r="J1103" i="13" s="1"/>
  <c r="I1097" i="13"/>
  <c r="J1097" i="13" s="1"/>
  <c r="I1081" i="13"/>
  <c r="J1081" i="13" s="1"/>
  <c r="I1059" i="13"/>
  <c r="J1059" i="13" s="1"/>
  <c r="I1079" i="13"/>
  <c r="J1079" i="13" s="1"/>
  <c r="I1102" i="13"/>
  <c r="J1102" i="13" s="1"/>
  <c r="I1085" i="13"/>
  <c r="J1085" i="13" s="1"/>
  <c r="I1092" i="13"/>
  <c r="J1092" i="13" s="1"/>
  <c r="I1060" i="13"/>
  <c r="J1060" i="13" s="1"/>
  <c r="I1062" i="13"/>
  <c r="J1062" i="13" s="1"/>
  <c r="I1065" i="13"/>
  <c r="J1065" i="13" s="1"/>
  <c r="I1064" i="13"/>
  <c r="J1064" i="13" s="1"/>
  <c r="I1078" i="13"/>
  <c r="J1078" i="13" s="1"/>
  <c r="I1068" i="13"/>
  <c r="J1068" i="13" s="1"/>
  <c r="I1105" i="13"/>
  <c r="J1105" i="13" s="1"/>
  <c r="I1051" i="13"/>
  <c r="J1051" i="13" s="1"/>
  <c r="I1077" i="13"/>
  <c r="J1077" i="13" s="1"/>
  <c r="I1083" i="13"/>
  <c r="J1083" i="13" s="1"/>
  <c r="I1080" i="13"/>
  <c r="J1080" i="13" s="1"/>
  <c r="I1056" i="13"/>
  <c r="O1056" i="13" s="1"/>
  <c r="P1056" i="13" s="1"/>
  <c r="I1091" i="13"/>
  <c r="J1091" i="13" s="1"/>
  <c r="I1052" i="13"/>
  <c r="J1052" i="13" s="1"/>
  <c r="I1058" i="13"/>
  <c r="J1058" i="13" s="1"/>
  <c r="I1088" i="13"/>
  <c r="J1088" i="13" s="1"/>
  <c r="I1082" i="13"/>
  <c r="J1082" i="13" s="1"/>
  <c r="I1075" i="13"/>
  <c r="J1075" i="13" s="1"/>
  <c r="I238" i="13"/>
  <c r="J238" i="13" s="1"/>
  <c r="J757" i="13"/>
  <c r="J726" i="13"/>
  <c r="M1037" i="13"/>
  <c r="M1038" i="13" s="1"/>
  <c r="J754" i="13"/>
  <c r="J723" i="13"/>
  <c r="J751" i="13"/>
  <c r="J724" i="13"/>
  <c r="J387" i="13"/>
  <c r="J1100" i="13"/>
  <c r="I191" i="13"/>
  <c r="J191" i="13" s="1"/>
  <c r="J739" i="13"/>
  <c r="I233" i="13"/>
  <c r="J233" i="13" s="1"/>
  <c r="I215" i="13"/>
  <c r="J215" i="13" s="1"/>
  <c r="I194" i="13"/>
  <c r="O194" i="13" s="1"/>
  <c r="P194" i="13" s="1"/>
  <c r="I239" i="13"/>
  <c r="J239" i="13" s="1"/>
  <c r="I199" i="13"/>
  <c r="J199" i="13" s="1"/>
  <c r="J749" i="13"/>
  <c r="I243" i="13"/>
  <c r="J243" i="13" s="1"/>
  <c r="M435" i="13"/>
  <c r="M436" i="13" s="1"/>
  <c r="J750" i="13"/>
  <c r="I228" i="13"/>
  <c r="J228" i="13" s="1"/>
  <c r="I221" i="13"/>
  <c r="J221" i="13" s="1"/>
  <c r="J734" i="13"/>
  <c r="I229" i="13"/>
  <c r="J229" i="13" s="1"/>
  <c r="I466" i="13"/>
  <c r="J466" i="13" s="1"/>
  <c r="I446" i="13"/>
  <c r="J446" i="13" s="1"/>
  <c r="I493" i="13"/>
  <c r="J493" i="13" s="1"/>
  <c r="I458" i="13"/>
  <c r="J458" i="13" s="1"/>
  <c r="I480" i="13"/>
  <c r="J480" i="13" s="1"/>
  <c r="I485" i="13"/>
  <c r="J485" i="13" s="1"/>
  <c r="I472" i="13"/>
  <c r="J472" i="13" s="1"/>
  <c r="I418" i="13"/>
  <c r="J418" i="13" s="1"/>
  <c r="I465" i="13"/>
  <c r="J465" i="13" s="1"/>
  <c r="I476" i="13"/>
  <c r="J476" i="13" s="1"/>
  <c r="J214" i="13"/>
  <c r="I450" i="13"/>
  <c r="O450" i="13" s="1"/>
  <c r="P450" i="13" s="1"/>
  <c r="I463" i="13"/>
  <c r="J463" i="13" s="1"/>
  <c r="J738" i="13"/>
  <c r="I468" i="13"/>
  <c r="J468" i="13" s="1"/>
  <c r="M349" i="13"/>
  <c r="M350" i="13" s="1"/>
  <c r="J760" i="13"/>
  <c r="I469" i="13"/>
  <c r="J469" i="13" s="1"/>
  <c r="I490" i="13"/>
  <c r="J490" i="13" s="1"/>
  <c r="I499" i="13"/>
  <c r="J499" i="13" s="1"/>
  <c r="I227" i="13"/>
  <c r="J227" i="13" s="1"/>
  <c r="I484" i="13"/>
  <c r="J484" i="13" s="1"/>
  <c r="I471" i="13"/>
  <c r="J471" i="13" s="1"/>
  <c r="I497" i="13"/>
  <c r="J497" i="13" s="1"/>
  <c r="I492" i="13"/>
  <c r="J492" i="13" s="1"/>
  <c r="I216" i="13"/>
  <c r="J216" i="13" s="1"/>
  <c r="I196" i="13"/>
  <c r="J196" i="13" s="1"/>
  <c r="I240" i="13"/>
  <c r="J240" i="13" s="1"/>
  <c r="I195" i="13"/>
  <c r="J195" i="13" s="1"/>
  <c r="I456" i="13"/>
  <c r="O456" i="13" s="1"/>
  <c r="P456" i="13" s="1"/>
  <c r="I448" i="13"/>
  <c r="J448" i="13" s="1"/>
  <c r="I474" i="13"/>
  <c r="J474" i="13" s="1"/>
  <c r="I482" i="13"/>
  <c r="J482" i="13" s="1"/>
  <c r="I189" i="13"/>
  <c r="O189" i="13" s="1"/>
  <c r="P189" i="13" s="1"/>
  <c r="I454" i="13"/>
  <c r="O454" i="13" s="1"/>
  <c r="P454" i="13" s="1"/>
  <c r="I489" i="13"/>
  <c r="J489" i="13" s="1"/>
  <c r="I496" i="13"/>
  <c r="J496" i="13" s="1"/>
  <c r="I479" i="13"/>
  <c r="J479" i="13" s="1"/>
  <c r="I226" i="13"/>
  <c r="J226" i="13" s="1"/>
  <c r="I232" i="13"/>
  <c r="J232" i="13" s="1"/>
  <c r="I242" i="13"/>
  <c r="J242" i="13" s="1"/>
  <c r="I203" i="13"/>
  <c r="J203" i="13" s="1"/>
  <c r="I464" i="13"/>
  <c r="J464" i="13" s="1"/>
  <c r="I207" i="13"/>
  <c r="J207" i="13" s="1"/>
  <c r="I210" i="13"/>
  <c r="J210" i="13" s="1"/>
  <c r="I447" i="13"/>
  <c r="J447" i="13" s="1"/>
  <c r="I452" i="13"/>
  <c r="O452" i="13" s="1"/>
  <c r="P452" i="13" s="1"/>
  <c r="I494" i="13"/>
  <c r="J494" i="13" s="1"/>
  <c r="I498" i="13"/>
  <c r="J498" i="13" s="1"/>
  <c r="I208" i="13"/>
  <c r="J208" i="13" s="1"/>
  <c r="I204" i="13"/>
  <c r="J204" i="13" s="1"/>
  <c r="I202" i="13"/>
  <c r="N177" i="13" s="1"/>
  <c r="I209" i="13"/>
  <c r="J209" i="13" s="1"/>
  <c r="I500" i="13"/>
  <c r="J500" i="13" s="1"/>
  <c r="I462" i="13"/>
  <c r="J462" i="13" s="1"/>
  <c r="I212" i="13"/>
  <c r="J212" i="13" s="1"/>
  <c r="I219" i="13"/>
  <c r="J219" i="13" s="1"/>
  <c r="I213" i="13"/>
  <c r="J213" i="13" s="1"/>
  <c r="I218" i="13"/>
  <c r="J218" i="13" s="1"/>
  <c r="I223" i="13"/>
  <c r="J223" i="13" s="1"/>
  <c r="I222" i="13"/>
  <c r="J222" i="13" s="1"/>
  <c r="I235" i="13"/>
  <c r="J235" i="13" s="1"/>
  <c r="I190" i="13"/>
  <c r="O190" i="13" s="1"/>
  <c r="P190" i="13" s="1"/>
  <c r="I193" i="13"/>
  <c r="O193" i="13" s="1"/>
  <c r="P193" i="13" s="1"/>
  <c r="I211" i="13"/>
  <c r="J211" i="13" s="1"/>
  <c r="I483" i="13"/>
  <c r="J483" i="13" s="1"/>
  <c r="I455" i="13"/>
  <c r="O455" i="13" s="1"/>
  <c r="P455" i="13" s="1"/>
  <c r="I461" i="13"/>
  <c r="J461" i="13" s="1"/>
  <c r="I486" i="13"/>
  <c r="J486" i="13" s="1"/>
  <c r="I467" i="13"/>
  <c r="J467" i="13" s="1"/>
  <c r="I237" i="13"/>
  <c r="J237" i="13" s="1"/>
  <c r="I198" i="13"/>
  <c r="O198" i="13" s="1"/>
  <c r="P198" i="13" s="1"/>
  <c r="I192" i="13"/>
  <c r="O192" i="13" s="1"/>
  <c r="P192" i="13" s="1"/>
  <c r="I220" i="13"/>
  <c r="J220" i="13" s="1"/>
  <c r="I501" i="13"/>
  <c r="J501" i="13" s="1"/>
  <c r="I478" i="13"/>
  <c r="J478" i="13" s="1"/>
  <c r="I453" i="13"/>
  <c r="O453" i="13" s="1"/>
  <c r="P453" i="13" s="1"/>
  <c r="I205" i="13"/>
  <c r="J205" i="13" s="1"/>
  <c r="I217" i="13"/>
  <c r="J217" i="13" s="1"/>
  <c r="I236" i="13"/>
  <c r="J236" i="13" s="1"/>
  <c r="I197" i="13"/>
  <c r="J197" i="13" s="1"/>
  <c r="I481" i="13"/>
  <c r="J481" i="13" s="1"/>
  <c r="I475" i="13"/>
  <c r="J475" i="13" s="1"/>
  <c r="I451" i="13"/>
  <c r="J451" i="13" s="1"/>
  <c r="I495" i="13"/>
  <c r="J495" i="13" s="1"/>
  <c r="I244" i="13"/>
  <c r="J244" i="13" s="1"/>
  <c r="I491" i="13"/>
  <c r="J491" i="13" s="1"/>
  <c r="I502" i="13"/>
  <c r="J502" i="13" s="1"/>
  <c r="I477" i="13"/>
  <c r="J477" i="13" s="1"/>
  <c r="I457" i="13"/>
  <c r="J457" i="13" s="1"/>
  <c r="I470" i="13"/>
  <c r="J470" i="13" s="1"/>
  <c r="I460" i="13"/>
  <c r="J460" i="13" s="1"/>
  <c r="I487" i="13"/>
  <c r="J487" i="13" s="1"/>
  <c r="I449" i="13"/>
  <c r="J449" i="13" s="1"/>
  <c r="I473" i="13"/>
  <c r="J473" i="13" s="1"/>
  <c r="I459" i="13"/>
  <c r="J459" i="13" s="1"/>
  <c r="I188" i="13"/>
  <c r="J188" i="13" s="1"/>
  <c r="I231" i="13"/>
  <c r="J231" i="13" s="1"/>
  <c r="I245" i="13"/>
  <c r="J245" i="13" s="1"/>
  <c r="I234" i="13"/>
  <c r="J234" i="13" s="1"/>
  <c r="I230" i="13"/>
  <c r="J230" i="13" s="1"/>
  <c r="I224" i="13"/>
  <c r="J224" i="13" s="1"/>
  <c r="I200" i="13"/>
  <c r="J200" i="13" s="1"/>
  <c r="M177" i="13"/>
  <c r="M178" i="13" s="1"/>
  <c r="J1314" i="13"/>
  <c r="O1314" i="13"/>
  <c r="P1314" i="13" s="1"/>
  <c r="J714" i="13"/>
  <c r="O714" i="13"/>
  <c r="P714" i="13" s="1"/>
  <c r="I1020" i="13"/>
  <c r="J1020" i="13" s="1"/>
  <c r="I1358" i="13"/>
  <c r="J1358" i="13" s="1"/>
  <c r="I676" i="13"/>
  <c r="J676" i="13" s="1"/>
  <c r="F419" i="13"/>
  <c r="G419" i="13" s="1"/>
  <c r="H419" i="13" s="1"/>
  <c r="H420" i="13" s="1"/>
  <c r="I1106" i="13"/>
  <c r="J1106" i="13" s="1"/>
  <c r="I1192" i="13"/>
  <c r="J1192" i="13" s="1"/>
  <c r="I160" i="13"/>
  <c r="J160" i="13" s="1"/>
  <c r="I325" i="13"/>
  <c r="J325" i="13" s="1"/>
  <c r="I1279" i="13"/>
  <c r="J1279" i="13" s="1"/>
  <c r="I589" i="13"/>
  <c r="J589" i="13" s="1"/>
  <c r="F849" i="13"/>
  <c r="G849" i="13" s="1"/>
  <c r="H849" i="13" s="1"/>
  <c r="H850" i="13" s="1"/>
  <c r="F677" i="13"/>
  <c r="G677" i="13" s="1"/>
  <c r="H677" i="13" s="1"/>
  <c r="H678" i="13" s="1"/>
  <c r="F1107" i="13"/>
  <c r="G1107" i="13" s="1"/>
  <c r="H1107" i="13" s="1"/>
  <c r="H1108" i="13" s="1"/>
  <c r="F763" i="13"/>
  <c r="G763" i="13" s="1"/>
  <c r="I246" i="13"/>
  <c r="J246" i="13" s="1"/>
  <c r="I503" i="13"/>
  <c r="J503" i="13" s="1"/>
  <c r="F1021" i="13"/>
  <c r="G1021" i="13" s="1"/>
  <c r="H1021" i="13" s="1"/>
  <c r="H1022" i="13" s="1"/>
  <c r="I848" i="13"/>
  <c r="J848" i="13" s="1"/>
  <c r="G326" i="13"/>
  <c r="G1359" i="13"/>
  <c r="F935" i="13"/>
  <c r="G935" i="13" s="1"/>
  <c r="F1280" i="13"/>
  <c r="G1280" i="13" s="1"/>
  <c r="I762" i="13"/>
  <c r="J762" i="13" s="1"/>
  <c r="I934" i="13"/>
  <c r="J934" i="13" s="1"/>
  <c r="F161" i="13"/>
  <c r="G161" i="13" s="1"/>
  <c r="E1360" i="13"/>
  <c r="F1360" i="13" s="1"/>
  <c r="D1361" i="13" s="1"/>
  <c r="G504" i="13"/>
  <c r="F247" i="13"/>
  <c r="G247" i="13" s="1"/>
  <c r="E505" i="13"/>
  <c r="E506" i="13" s="1"/>
  <c r="E327" i="13"/>
  <c r="F327" i="13" s="1"/>
  <c r="D328" i="13" s="1"/>
  <c r="G590" i="13"/>
  <c r="E591" i="13"/>
  <c r="E592" i="13" s="1"/>
  <c r="F1193" i="13"/>
  <c r="G1193" i="13" s="1"/>
  <c r="I637" i="20"/>
  <c r="H697" i="20"/>
  <c r="J275" i="13"/>
  <c r="O275" i="13"/>
  <c r="P275" i="13" s="1"/>
  <c r="I997" i="20"/>
  <c r="N981" i="20"/>
  <c r="N982" i="20" s="1"/>
  <c r="J1311" i="13"/>
  <c r="O1311" i="13"/>
  <c r="P1311" i="13" s="1"/>
  <c r="N892" i="20"/>
  <c r="N893" i="20" s="1"/>
  <c r="I906" i="20"/>
  <c r="H162" i="20"/>
  <c r="I102" i="20"/>
  <c r="I819" i="20"/>
  <c r="N803" i="20"/>
  <c r="N804" i="20" s="1"/>
  <c r="N625" i="20"/>
  <c r="N626" i="20" s="1"/>
  <c r="I639" i="20"/>
  <c r="O1313" i="13"/>
  <c r="P1313" i="13" s="1"/>
  <c r="N1297" i="13"/>
  <c r="J1313" i="13"/>
  <c r="H608" i="20"/>
  <c r="I548" i="20"/>
  <c r="H519" i="20"/>
  <c r="I459" i="20"/>
  <c r="N1070" i="20"/>
  <c r="N1071" i="20" s="1"/>
  <c r="I1083" i="20"/>
  <c r="I285" i="20"/>
  <c r="N269" i="20"/>
  <c r="N270" i="20" s="1"/>
  <c r="I729" i="20"/>
  <c r="N714" i="20"/>
  <c r="N715" i="20" s="1"/>
  <c r="O707" i="13"/>
  <c r="P707" i="13" s="1"/>
  <c r="J707" i="13"/>
  <c r="I904" i="20"/>
  <c r="H964" i="20"/>
  <c r="J708" i="13"/>
  <c r="O708" i="13"/>
  <c r="P708" i="13" s="1"/>
  <c r="H430" i="20"/>
  <c r="I370" i="20"/>
  <c r="I993" i="20"/>
  <c r="H1053" i="20"/>
  <c r="O711" i="13"/>
  <c r="P711" i="13" s="1"/>
  <c r="J711" i="13"/>
  <c r="O712" i="13"/>
  <c r="P712" i="13" s="1"/>
  <c r="J712" i="13"/>
  <c r="O704" i="13"/>
  <c r="P704" i="13" s="1"/>
  <c r="J704" i="13"/>
  <c r="O1312" i="13"/>
  <c r="P1312" i="13" s="1"/>
  <c r="J1312" i="13"/>
  <c r="N536" i="20"/>
  <c r="N537" i="20" s="1"/>
  <c r="I550" i="20"/>
  <c r="H875" i="20"/>
  <c r="I815" i="20"/>
  <c r="I462" i="20"/>
  <c r="N447" i="20"/>
  <c r="N448" i="20" s="1"/>
  <c r="I199" i="20"/>
  <c r="N180" i="20"/>
  <c r="N181" i="20" s="1"/>
  <c r="J713" i="13"/>
  <c r="N693" i="13"/>
  <c r="O713" i="13"/>
  <c r="P713" i="13" s="1"/>
  <c r="O705" i="13"/>
  <c r="P705" i="13" s="1"/>
  <c r="J705" i="13"/>
  <c r="I112" i="20"/>
  <c r="N90" i="20"/>
  <c r="J534" i="13"/>
  <c r="I1171" i="20"/>
  <c r="I1231" i="20" s="1"/>
  <c r="H1231" i="20"/>
  <c r="N1159" i="20"/>
  <c r="N1160" i="20" s="1"/>
  <c r="I1082" i="20"/>
  <c r="H1142" i="20"/>
  <c r="H341" i="20"/>
  <c r="I281" i="20"/>
  <c r="H786" i="20"/>
  <c r="I726" i="20"/>
  <c r="J709" i="13"/>
  <c r="O709" i="13"/>
  <c r="P709" i="13" s="1"/>
  <c r="J1308" i="13"/>
  <c r="I192" i="20"/>
  <c r="H252" i="20"/>
  <c r="J710" i="13"/>
  <c r="O710" i="13"/>
  <c r="P710" i="13" s="1"/>
  <c r="J706" i="13"/>
  <c r="O706" i="13"/>
  <c r="P706" i="13" s="1"/>
  <c r="O1310" i="13"/>
  <c r="P1310" i="13" s="1"/>
  <c r="J1310" i="13"/>
  <c r="N358" i="20"/>
  <c r="N359" i="20" s="1"/>
  <c r="I374" i="20"/>
  <c r="O532" i="13" l="1"/>
  <c r="P532" i="13" s="1"/>
  <c r="J537" i="13"/>
  <c r="J538" i="13"/>
  <c r="O540" i="13"/>
  <c r="P540" i="13" s="1"/>
  <c r="O533" i="13"/>
  <c r="P533" i="13" s="1"/>
  <c r="J535" i="13"/>
  <c r="O536" i="13"/>
  <c r="P536" i="13" s="1"/>
  <c r="J539" i="13"/>
  <c r="J541" i="13"/>
  <c r="O541" i="13"/>
  <c r="P541" i="13" s="1"/>
  <c r="O972" i="13"/>
  <c r="P972" i="13" s="1"/>
  <c r="O966" i="13"/>
  <c r="P966" i="13" s="1"/>
  <c r="J970" i="13"/>
  <c r="J971" i="13"/>
  <c r="O965" i="13"/>
  <c r="P965" i="13" s="1"/>
  <c r="N951" i="13"/>
  <c r="O951" i="13" s="1"/>
  <c r="O952" i="13" s="1"/>
  <c r="O973" i="13"/>
  <c r="P973" i="13" s="1"/>
  <c r="J967" i="13"/>
  <c r="J969" i="13"/>
  <c r="J968" i="13"/>
  <c r="J274" i="13"/>
  <c r="J283" i="13"/>
  <c r="O278" i="13"/>
  <c r="P278" i="13" s="1"/>
  <c r="J284" i="13"/>
  <c r="J279" i="13"/>
  <c r="O1134" i="13"/>
  <c r="P1134" i="13" s="1"/>
  <c r="J282" i="13"/>
  <c r="O277" i="13"/>
  <c r="P277" i="13" s="1"/>
  <c r="O276" i="13"/>
  <c r="P276" i="13" s="1"/>
  <c r="N263" i="13"/>
  <c r="O263" i="13" s="1"/>
  <c r="O264" i="13" s="1"/>
  <c r="J285" i="13"/>
  <c r="O281" i="13"/>
  <c r="P281" i="13" s="1"/>
  <c r="O280" i="13"/>
  <c r="P280" i="13" s="1"/>
  <c r="J1138" i="13"/>
  <c r="J117" i="13"/>
  <c r="J883" i="13"/>
  <c r="O1135" i="13"/>
  <c r="P1135" i="13" s="1"/>
  <c r="O1139" i="13"/>
  <c r="P1139" i="13" s="1"/>
  <c r="O365" i="13"/>
  <c r="P365" i="13" s="1"/>
  <c r="J108" i="13"/>
  <c r="J1228" i="13"/>
  <c r="J1223" i="13"/>
  <c r="O1137" i="13"/>
  <c r="P1137" i="13" s="1"/>
  <c r="J109" i="13"/>
  <c r="O800" i="13"/>
  <c r="P800" i="13" s="1"/>
  <c r="J1140" i="13"/>
  <c r="O1226" i="13"/>
  <c r="P1226" i="13" s="1"/>
  <c r="J1136" i="13"/>
  <c r="J798" i="13"/>
  <c r="J797" i="13"/>
  <c r="O879" i="13"/>
  <c r="P879" i="13" s="1"/>
  <c r="N1123" i="13"/>
  <c r="O1123" i="13" s="1"/>
  <c r="O1124" i="13" s="1"/>
  <c r="O885" i="13"/>
  <c r="P885" i="13" s="1"/>
  <c r="J885" i="13"/>
  <c r="O1141" i="13"/>
  <c r="P1141" i="13" s="1"/>
  <c r="J881" i="13"/>
  <c r="J1225" i="13"/>
  <c r="O876" i="13"/>
  <c r="P876" i="13" s="1"/>
  <c r="J792" i="13"/>
  <c r="O799" i="13"/>
  <c r="P799" i="13" s="1"/>
  <c r="O1227" i="13"/>
  <c r="P1227" i="13" s="1"/>
  <c r="O795" i="13"/>
  <c r="P795" i="13" s="1"/>
  <c r="O801" i="13"/>
  <c r="P801" i="13" s="1"/>
  <c r="N779" i="13"/>
  <c r="N780" i="13" s="1"/>
  <c r="J880" i="13"/>
  <c r="O884" i="13"/>
  <c r="P884" i="13" s="1"/>
  <c r="J882" i="13"/>
  <c r="J877" i="13"/>
  <c r="J360" i="13"/>
  <c r="J1224" i="13"/>
  <c r="O1229" i="13"/>
  <c r="P1229" i="13" s="1"/>
  <c r="O369" i="13"/>
  <c r="P369" i="13" s="1"/>
  <c r="N1210" i="13"/>
  <c r="O1210" i="13" s="1"/>
  <c r="O1211" i="13" s="1"/>
  <c r="O111" i="13"/>
  <c r="P111" i="13" s="1"/>
  <c r="J878" i="13"/>
  <c r="O621" i="13"/>
  <c r="P621" i="13" s="1"/>
  <c r="O790" i="13"/>
  <c r="P790" i="13" s="1"/>
  <c r="J791" i="13"/>
  <c r="J794" i="13"/>
  <c r="J796" i="13"/>
  <c r="O119" i="13"/>
  <c r="P119" i="13" s="1"/>
  <c r="J119" i="13"/>
  <c r="O115" i="13"/>
  <c r="P115" i="13" s="1"/>
  <c r="O364" i="13"/>
  <c r="P364" i="13" s="1"/>
  <c r="O361" i="13"/>
  <c r="P361" i="13" s="1"/>
  <c r="J118" i="13"/>
  <c r="J113" i="13"/>
  <c r="J622" i="13"/>
  <c r="J367" i="13"/>
  <c r="O619" i="13"/>
  <c r="P619" i="13" s="1"/>
  <c r="O362" i="13"/>
  <c r="P362" i="13" s="1"/>
  <c r="O104" i="13"/>
  <c r="P104" i="13" s="1"/>
  <c r="O112" i="13"/>
  <c r="P112" i="13" s="1"/>
  <c r="J110" i="13"/>
  <c r="O116" i="13"/>
  <c r="P116" i="13" s="1"/>
  <c r="J626" i="13"/>
  <c r="O624" i="13"/>
  <c r="P624" i="13" s="1"/>
  <c r="J363" i="13"/>
  <c r="J368" i="13"/>
  <c r="J114" i="13"/>
  <c r="O366" i="13"/>
  <c r="P366" i="13" s="1"/>
  <c r="J106" i="13"/>
  <c r="J105" i="13"/>
  <c r="J370" i="13"/>
  <c r="O371" i="13"/>
  <c r="P371" i="13" s="1"/>
  <c r="O107" i="13"/>
  <c r="P107" i="13" s="1"/>
  <c r="J103" i="13"/>
  <c r="J371" i="13"/>
  <c r="O625" i="13"/>
  <c r="P625" i="13" s="1"/>
  <c r="O627" i="13"/>
  <c r="P627" i="13" s="1"/>
  <c r="J623" i="13"/>
  <c r="O620" i="13"/>
  <c r="P620" i="13" s="1"/>
  <c r="J618" i="13"/>
  <c r="N607" i="13"/>
  <c r="O607" i="13" s="1"/>
  <c r="O608" i="13" s="1"/>
  <c r="J793" i="13"/>
  <c r="J201" i="13"/>
  <c r="J1053" i="13"/>
  <c r="O1055" i="13"/>
  <c r="P1055" i="13" s="1"/>
  <c r="O191" i="13"/>
  <c r="P191" i="13" s="1"/>
  <c r="J1056" i="13"/>
  <c r="O1051" i="13"/>
  <c r="P1051" i="13" s="1"/>
  <c r="O1050" i="13"/>
  <c r="P1050" i="13" s="1"/>
  <c r="O1054" i="13"/>
  <c r="P1054" i="13" s="1"/>
  <c r="O1052" i="13"/>
  <c r="P1052" i="13" s="1"/>
  <c r="N1037" i="13"/>
  <c r="O1037" i="13" s="1"/>
  <c r="O1038" i="13" s="1"/>
  <c r="J1049" i="13"/>
  <c r="J189" i="13"/>
  <c r="J450" i="13"/>
  <c r="O199" i="13"/>
  <c r="P199" i="13" s="1"/>
  <c r="O446" i="13"/>
  <c r="P446" i="13" s="1"/>
  <c r="J194" i="13"/>
  <c r="J192" i="13"/>
  <c r="J455" i="13"/>
  <c r="O202" i="13"/>
  <c r="P202" i="13" s="1"/>
  <c r="O451" i="13"/>
  <c r="P451" i="13" s="1"/>
  <c r="O196" i="13"/>
  <c r="P196" i="13" s="1"/>
  <c r="O195" i="13"/>
  <c r="P195" i="13" s="1"/>
  <c r="J202" i="13"/>
  <c r="J453" i="13"/>
  <c r="J193" i="13"/>
  <c r="J198" i="13"/>
  <c r="J456" i="13"/>
  <c r="O448" i="13"/>
  <c r="P448" i="13" s="1"/>
  <c r="O449" i="13"/>
  <c r="P449" i="13" s="1"/>
  <c r="N435" i="13"/>
  <c r="O197" i="13"/>
  <c r="P197" i="13" s="1"/>
  <c r="J452" i="13"/>
  <c r="O200" i="13"/>
  <c r="P200" i="13" s="1"/>
  <c r="J454" i="13"/>
  <c r="J190" i="13"/>
  <c r="O447" i="13"/>
  <c r="P447" i="13" s="1"/>
  <c r="N22" i="13"/>
  <c r="G27" i="2" s="1"/>
  <c r="L27" i="2" s="1"/>
  <c r="I419" i="13"/>
  <c r="J419" i="13" s="1"/>
  <c r="I677" i="13"/>
  <c r="J677" i="13" s="1"/>
  <c r="I1107" i="13"/>
  <c r="J1107" i="13" s="1"/>
  <c r="I849" i="13"/>
  <c r="J849" i="13" s="1"/>
  <c r="F505" i="13"/>
  <c r="G505" i="13" s="1"/>
  <c r="I505" i="13" s="1"/>
  <c r="H763" i="13"/>
  <c r="H764" i="13" s="1"/>
  <c r="I763" i="13"/>
  <c r="I1021" i="13"/>
  <c r="J1021" i="13" s="1"/>
  <c r="H326" i="13"/>
  <c r="I326" i="13"/>
  <c r="H1280" i="13"/>
  <c r="H1281" i="13" s="1"/>
  <c r="I1280" i="13"/>
  <c r="H935" i="13"/>
  <c r="H936" i="13" s="1"/>
  <c r="I935" i="13"/>
  <c r="H1359" i="13"/>
  <c r="I1359" i="13"/>
  <c r="G327" i="13"/>
  <c r="E328" i="13"/>
  <c r="F328" i="13" s="1"/>
  <c r="D329" i="13" s="1"/>
  <c r="H247" i="13"/>
  <c r="H248" i="13" s="1"/>
  <c r="I247" i="13"/>
  <c r="H504" i="13"/>
  <c r="I504" i="13"/>
  <c r="G1360" i="13"/>
  <c r="E1361" i="13"/>
  <c r="F1361" i="13" s="1"/>
  <c r="D1362" i="13" s="1"/>
  <c r="H161" i="13"/>
  <c r="H162" i="13" s="1"/>
  <c r="I161" i="13"/>
  <c r="H590" i="13"/>
  <c r="I590" i="13"/>
  <c r="H1193" i="13"/>
  <c r="H1194" i="13" s="1"/>
  <c r="I1193" i="13"/>
  <c r="F591" i="13"/>
  <c r="G591" i="13" s="1"/>
  <c r="I875" i="20"/>
  <c r="I341" i="20"/>
  <c r="I786" i="20"/>
  <c r="I252" i="20"/>
  <c r="I1142" i="20"/>
  <c r="I964" i="20"/>
  <c r="I1053" i="20"/>
  <c r="I608" i="20"/>
  <c r="I162" i="20"/>
  <c r="N866" i="13"/>
  <c r="O865" i="13"/>
  <c r="O866" i="13" s="1"/>
  <c r="N91" i="20"/>
  <c r="N26" i="20"/>
  <c r="O26" i="20" s="1"/>
  <c r="N1298" i="13"/>
  <c r="O1297" i="13"/>
  <c r="O1298" i="13" s="1"/>
  <c r="N178" i="13"/>
  <c r="O177" i="13"/>
  <c r="O178" i="13" s="1"/>
  <c r="I430" i="20"/>
  <c r="O521" i="13"/>
  <c r="O522" i="13" s="1"/>
  <c r="N522" i="13"/>
  <c r="N92" i="13"/>
  <c r="O91" i="13"/>
  <c r="O92" i="13" s="1"/>
  <c r="I519" i="20"/>
  <c r="O693" i="13"/>
  <c r="O694" i="13" s="1"/>
  <c r="N694" i="13"/>
  <c r="N350" i="13"/>
  <c r="O349" i="13"/>
  <c r="O350" i="13" s="1"/>
  <c r="I697" i="20"/>
  <c r="N952" i="13" l="1"/>
  <c r="J1022" i="13"/>
  <c r="N264" i="13"/>
  <c r="N1124" i="13"/>
  <c r="N1211" i="13"/>
  <c r="O779" i="13"/>
  <c r="O780" i="13" s="1"/>
  <c r="N608" i="13"/>
  <c r="J850" i="13"/>
  <c r="J678" i="13"/>
  <c r="J420" i="13"/>
  <c r="O22" i="13"/>
  <c r="P22" i="13" s="1"/>
  <c r="P23" i="13" s="1"/>
  <c r="L39" i="2" s="1"/>
  <c r="N1038" i="13"/>
  <c r="J1108" i="13"/>
  <c r="O435" i="13"/>
  <c r="O436" i="13" s="1"/>
  <c r="N436" i="13"/>
  <c r="N23" i="13"/>
  <c r="I850" i="13"/>
  <c r="I420" i="13"/>
  <c r="I1108" i="13"/>
  <c r="H505" i="13"/>
  <c r="J505" i="13" s="1"/>
  <c r="I678" i="13"/>
  <c r="I1022" i="13"/>
  <c r="J763" i="13"/>
  <c r="J764" i="13" s="1"/>
  <c r="I764" i="13"/>
  <c r="J1359" i="13"/>
  <c r="J326" i="13"/>
  <c r="G1361" i="13"/>
  <c r="H1361" i="13" s="1"/>
  <c r="J935" i="13"/>
  <c r="J936" i="13" s="1"/>
  <c r="I936" i="13"/>
  <c r="J1280" i="13"/>
  <c r="J1281" i="13" s="1"/>
  <c r="I1281" i="13"/>
  <c r="H1360" i="13"/>
  <c r="I1360" i="13"/>
  <c r="J504" i="13"/>
  <c r="I506" i="13"/>
  <c r="H591" i="13"/>
  <c r="H592" i="13" s="1"/>
  <c r="I591" i="13"/>
  <c r="J247" i="13"/>
  <c r="J248" i="13" s="1"/>
  <c r="I248" i="13"/>
  <c r="J1193" i="13"/>
  <c r="J1194" i="13" s="1"/>
  <c r="I1194" i="13"/>
  <c r="E1362" i="13"/>
  <c r="F1362" i="13" s="1"/>
  <c r="J590" i="13"/>
  <c r="G328" i="13"/>
  <c r="E329" i="13"/>
  <c r="F329" i="13" s="1"/>
  <c r="D330" i="13" s="1"/>
  <c r="J161" i="13"/>
  <c r="J162" i="13" s="1"/>
  <c r="I162" i="13"/>
  <c r="H327" i="13"/>
  <c r="I327" i="13"/>
  <c r="O23" i="13" l="1"/>
  <c r="H506" i="13"/>
  <c r="J506" i="13"/>
  <c r="I1361" i="13"/>
  <c r="J1361" i="13" s="1"/>
  <c r="G329" i="13"/>
  <c r="I329" i="13" s="1"/>
  <c r="D1363" i="13"/>
  <c r="G1362" i="13"/>
  <c r="J327" i="13"/>
  <c r="J591" i="13"/>
  <c r="J592" i="13" s="1"/>
  <c r="E330" i="13"/>
  <c r="F330" i="13" s="1"/>
  <c r="D331" i="13" s="1"/>
  <c r="H328" i="13"/>
  <c r="I328" i="13"/>
  <c r="I592" i="13"/>
  <c r="J1360" i="13"/>
  <c r="H329" i="13" l="1"/>
  <c r="J329" i="13" s="1"/>
  <c r="G330" i="13"/>
  <c r="H330" i="13" s="1"/>
  <c r="J328" i="13"/>
  <c r="E331" i="13"/>
  <c r="F331" i="13" s="1"/>
  <c r="D332" i="13" s="1"/>
  <c r="H1362" i="13"/>
  <c r="I1362" i="13"/>
  <c r="E1363" i="13"/>
  <c r="F1363" i="13" s="1"/>
  <c r="D1364" i="13" s="1"/>
  <c r="I330" i="13" l="1"/>
  <c r="J330" i="13" s="1"/>
  <c r="G331" i="13"/>
  <c r="H331" i="13" s="1"/>
  <c r="E332" i="13"/>
  <c r="F332" i="13" s="1"/>
  <c r="D333" i="13" s="1"/>
  <c r="E1364" i="13"/>
  <c r="F1364" i="13" s="1"/>
  <c r="J1362" i="13"/>
  <c r="G1363" i="13"/>
  <c r="I331" i="13" l="1"/>
  <c r="J331" i="13" s="1"/>
  <c r="D1365" i="13"/>
  <c r="E1365" i="13" s="1"/>
  <c r="F1365" i="13" s="1"/>
  <c r="G1364" i="13"/>
  <c r="H1364" i="13" s="1"/>
  <c r="G332" i="13"/>
  <c r="E333" i="13"/>
  <c r="E334" i="13" s="1"/>
  <c r="H1363" i="13"/>
  <c r="I1363" i="13"/>
  <c r="I1364" i="13" l="1"/>
  <c r="J1364" i="13" s="1"/>
  <c r="F333" i="13"/>
  <c r="G333" i="13" s="1"/>
  <c r="H333" i="13" s="1"/>
  <c r="D1366" i="13"/>
  <c r="G1365" i="13"/>
  <c r="J1363" i="13"/>
  <c r="H332" i="13"/>
  <c r="I332" i="13"/>
  <c r="I333" i="13" l="1"/>
  <c r="I334" i="13" s="1"/>
  <c r="J332" i="13"/>
  <c r="H334" i="13"/>
  <c r="H1365" i="13"/>
  <c r="I1365" i="13"/>
  <c r="E1366" i="13"/>
  <c r="F1366" i="13" s="1"/>
  <c r="J333" i="13" l="1"/>
  <c r="J334" i="13" s="1"/>
  <c r="D1367" i="13"/>
  <c r="G1366" i="13"/>
  <c r="J1365" i="13"/>
  <c r="H1366" i="13" l="1"/>
  <c r="I1366" i="13"/>
  <c r="E1367" i="13"/>
  <c r="E1368" i="13" s="1"/>
  <c r="F1367" i="13" l="1"/>
  <c r="G1367" i="13" s="1"/>
  <c r="H1367" i="13" s="1"/>
  <c r="H1368" i="13" s="1"/>
  <c r="J1366" i="13"/>
  <c r="I1367" i="13" l="1"/>
  <c r="I1368" i="13" s="1"/>
  <c r="J1367" i="13" l="1"/>
  <c r="J1368" i="13" s="1"/>
  <c r="G25" i="48" l="1"/>
  <c r="H25" i="48"/>
  <c r="I25" i="48" l="1"/>
  <c r="P28" i="50" l="1"/>
  <c r="P14" i="50"/>
  <c r="Q23" i="50" l="1"/>
  <c r="Q22" i="50"/>
  <c r="P13" i="50"/>
  <c r="P25" i="50" l="1"/>
  <c r="Q15" i="50" l="1"/>
  <c r="P27" i="50"/>
  <c r="P20" i="50"/>
  <c r="P19" i="50"/>
  <c r="Q17" i="50"/>
  <c r="P29" i="50"/>
  <c r="Q26" i="50"/>
  <c r="Q21" i="50" l="1"/>
  <c r="Q39" i="50" s="1"/>
  <c r="P16" i="50"/>
  <c r="N39" i="50" l="1"/>
  <c r="P30" i="50" l="1"/>
  <c r="L39" i="50"/>
  <c r="P24" i="50"/>
  <c r="M39" i="50"/>
  <c r="P39" i="50" l="1"/>
  <c r="G27" i="48" l="1"/>
  <c r="H27" i="48"/>
  <c r="I27" i="48" l="1"/>
  <c r="G26" i="48" l="1"/>
  <c r="G28" i="48" s="1"/>
  <c r="H26" i="48"/>
  <c r="I26" i="48" l="1"/>
  <c r="I28" i="48" s="1"/>
  <c r="H28" i="4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tc={6B9E788D-05DA-44C0-8A9C-EAEFA7F7F5D7}</author>
  </authors>
  <commentList>
    <comment ref="K21" authorId="0" shapeId="0" xr:uid="{6B9E788D-05DA-44C0-8A9C-EAEFA7F7F5D7}">
      <text>
        <t>[Threaded comment]
Your version of Excel allows you to read this threaded comment; however, any edits to it will get removed if the file is opened in a newer version of Excel. Learn more: https://go.microsoft.com/fwlink/?linkid=870924
Comment:
    only accounts with other electric revenues in description</t>
      </text>
    </comment>
  </commentList>
</comments>
</file>

<file path=xl/sharedStrings.xml><?xml version="1.0" encoding="utf-8"?>
<sst xmlns="http://schemas.openxmlformats.org/spreadsheetml/2006/main" count="4231" uniqueCount="1529">
  <si>
    <t>CALCULATION OF RECOVERABLE HEDGE GAINS/LOSSES</t>
  </si>
  <si>
    <t>Net Includable Hedge Amount</t>
  </si>
  <si>
    <t>Source of Data</t>
  </si>
  <si>
    <t>Plant Held For Future Use</t>
  </si>
  <si>
    <t>( C )</t>
  </si>
  <si>
    <t>General Notes:  a)  References to data from Worksheets are indicated as:  Worksheet X, Line#.Column.X</t>
  </si>
  <si>
    <t>Average Balance of Common Equity</t>
  </si>
  <si>
    <t>Development of Cost of  Long Term Debt Based on Average Outstanding Balance</t>
  </si>
  <si>
    <t>Total Hedge Amortization</t>
  </si>
  <si>
    <t>Development of Cost of Preferred Stock</t>
  </si>
  <si>
    <t>321.80.b</t>
  </si>
  <si>
    <t>322.156.b</t>
  </si>
  <si>
    <t>354.21.b</t>
  </si>
  <si>
    <t>Date</t>
  </si>
  <si>
    <t>Property Description</t>
  </si>
  <si>
    <t>Basis</t>
  </si>
  <si>
    <t>Proceeds</t>
  </si>
  <si>
    <t xml:space="preserve">Line </t>
  </si>
  <si>
    <t>Function (T) or (G)</t>
  </si>
  <si>
    <t>Functional Allocator</t>
  </si>
  <si>
    <t xml:space="preserve">(G) </t>
  </si>
  <si>
    <t>Functionalized Proceeds</t>
  </si>
  <si>
    <t>Removes transmission plant (e.g. step-up transformers) included in the development of OATT ancillary service rates and not already removed for reasons indicated in Note P.</t>
  </si>
  <si>
    <t xml:space="preserve">     Less: Account 565</t>
  </si>
  <si>
    <t>ACCUMULATED DEPRECIATION AND AMORTIZATION</t>
  </si>
  <si>
    <t>WACC=</t>
  </si>
  <si>
    <t>TP1</t>
  </si>
  <si>
    <t>TP1=</t>
  </si>
  <si>
    <t>Non-</t>
  </si>
  <si>
    <t xml:space="preserve"> The rates for each AEP company have been approved by their respective regulatory commissions.  </t>
  </si>
  <si>
    <t>Annual Tax Expenses by Type (Note 1)</t>
  </si>
  <si>
    <t xml:space="preserve">IPP CONTRIBUTIONS FOR CONSTRUCTION  </t>
  </si>
  <si>
    <t>TAXES OTHER THAN INCOME</t>
  </si>
  <si>
    <t>TOTAL OTHER TAXES</t>
  </si>
  <si>
    <t xml:space="preserve">The Long Term Debt balance for I&amp;M includes the accumulated balance of principle and related interest for Spent Nuclear Fuel Disposal Costs collected prior to April 7, 1983. </t>
  </si>
  <si>
    <t>TOTAL INCOME TAXES</t>
  </si>
  <si>
    <t>Item No.</t>
  </si>
  <si>
    <t>Expense</t>
  </si>
  <si>
    <t>Specific</t>
  </si>
  <si>
    <t>Explanation</t>
  </si>
  <si>
    <t>SUPPORTING CALCULATIONS</t>
  </si>
  <si>
    <t>WAGES &amp; SALARY ALLOCATOR (W/S)</t>
  </si>
  <si>
    <t>Transmission related amount</t>
  </si>
  <si>
    <t>W/S=</t>
  </si>
  <si>
    <t>TOTAL WORKING CAPITAL</t>
  </si>
  <si>
    <t>TOTAL NET PLANT IN SERVICE</t>
  </si>
  <si>
    <t>TOTAL ACCUMULATED DEPRECIATION</t>
  </si>
  <si>
    <t>TOTAL GROSS PLANT</t>
  </si>
  <si>
    <t>General Plant and Administrative &amp; General expenses, other than in accounts 924, 928, and 930, will be functionalized  based on the Wages &amp; Salaries "W/S" allocator. The allocation basis for accounts 924, 928 and 930 are separately presented in the formula. A change in the allocation method for an account must be approved via a 205 filing with the FERC.</t>
  </si>
  <si>
    <t>Detail of Account 561 Per FERC Form 1</t>
  </si>
  <si>
    <t>FF1 p 321.85.b</t>
  </si>
  <si>
    <t>561.1 - Load Dispatch - Reliability</t>
  </si>
  <si>
    <t>FF1 p 321.86.b</t>
  </si>
  <si>
    <t>561.2 - Load Dispatch - Monitor &amp; Operate Trans System</t>
  </si>
  <si>
    <t>FF1 p 321.87.b</t>
  </si>
  <si>
    <t>561.3 - Load Dispatch - Trans Service &amp; Scheduling</t>
  </si>
  <si>
    <t>FF1 p 321.88.b</t>
  </si>
  <si>
    <t>561.4 - Scheduling, System Control &amp; Dispatch</t>
  </si>
  <si>
    <t>FF1 p 321.89.b</t>
  </si>
  <si>
    <t>561.5 -  Reliability, Planning and Standards Development</t>
  </si>
  <si>
    <t>FF1 p 321.90.b</t>
  </si>
  <si>
    <t>561.6 - Transmission Service Studies</t>
  </si>
  <si>
    <t>FF1 p 321.91.b</t>
  </si>
  <si>
    <t>561.7 - Generation Interconnection Studies</t>
  </si>
  <si>
    <t>FF1 p 321.92.b</t>
  </si>
  <si>
    <t>561.8 -  Reliability, Planning and Standards Development Services</t>
  </si>
  <si>
    <t>Total of Account 561</t>
  </si>
  <si>
    <t>Company Records - Note 1</t>
  </si>
  <si>
    <t>NOTE 1</t>
  </si>
  <si>
    <t xml:space="preserve">NOTE 2 </t>
  </si>
  <si>
    <t xml:space="preserve">ADIT balances should exclude balances related to hedging activity. </t>
  </si>
  <si>
    <t>Interest Accrual (Company Records - Note 1)</t>
  </si>
  <si>
    <t>Revenue Credits to Generators (Company Records - Note 1)</t>
  </si>
  <si>
    <t>Accounting Adjustment  (Company Records - Note 1)</t>
  </si>
  <si>
    <t>Subtotal - Other Operating Revenues (Company Total equals (FF1 p. 300.26.(b))</t>
  </si>
  <si>
    <t>Apportionment Factors are determined as part of the Company's annual tax return for that jurisdiction.</t>
  </si>
  <si>
    <t>FERC FORM 1</t>
  </si>
  <si>
    <t>Tie-Back</t>
  </si>
  <si>
    <t>FERC FORM 1 Reference</t>
  </si>
  <si>
    <t xml:space="preserve">NOTE 1: The detail of each total company number and its source in the FERC Form 1 is shown on WS H-1. </t>
  </si>
  <si>
    <t>FERC</t>
  </si>
  <si>
    <t>TO Total</t>
  </si>
  <si>
    <t>GROSS PLANT IN SERVICE</t>
  </si>
  <si>
    <t>NET PLANT IN SERVICE</t>
  </si>
  <si>
    <t>(E)</t>
  </si>
  <si>
    <t>(F)</t>
  </si>
  <si>
    <t>(G)</t>
  </si>
  <si>
    <t>100%</t>
  </si>
  <si>
    <t>YE Balance</t>
  </si>
  <si>
    <t>Non-Transmission</t>
  </si>
  <si>
    <t>Acc. No.</t>
  </si>
  <si>
    <t>(H)</t>
  </si>
  <si>
    <t>TOTAL ADJUSTMENTS</t>
  </si>
  <si>
    <t>WORKING CAPITAL</t>
  </si>
  <si>
    <t>RATE BASE CALCULATION</t>
  </si>
  <si>
    <t>Data Sources</t>
  </si>
  <si>
    <t>323.189.b</t>
  </si>
  <si>
    <t>323.191.b</t>
  </si>
  <si>
    <t>323.192.b</t>
  </si>
  <si>
    <t>INTEREST ON IPP CONTRIBUTION FOR CONST. (Note F) (Worksheet D, ln 2.(B))</t>
  </si>
  <si>
    <t>(Note H) 321.96.b</t>
  </si>
  <si>
    <t>EXPENSE, TAXES, RETURN &amp; REVENUE</t>
  </si>
  <si>
    <t>REQUIREMENTS  CALCULATION</t>
  </si>
  <si>
    <t>OPERATION &amp; MAINTENANCE EXPENSE</t>
  </si>
  <si>
    <t xml:space="preserve">  Administrative and General</t>
  </si>
  <si>
    <t xml:space="preserve">  Prepayments (Account 165) - Unallocable</t>
  </si>
  <si>
    <t>Number</t>
  </si>
  <si>
    <t xml:space="preserve">               Acct. 930.1, Gen. Advert. Exp.</t>
  </si>
  <si>
    <t xml:space="preserve">     Balance of A &amp; G</t>
  </si>
  <si>
    <t xml:space="preserve">     A &amp; G Subtotal</t>
  </si>
  <si>
    <t>TOTAL O &amp; M EXPENSE</t>
  </si>
  <si>
    <t>REVENUE REQUIREMENT (w/o incentives)</t>
  </si>
  <si>
    <t>(See "General Notes")</t>
  </si>
  <si>
    <t>DEPRECIATION AND AMORTIZATION EXPENSE</t>
  </si>
  <si>
    <t xml:space="preserve"> </t>
  </si>
  <si>
    <t>Transmission</t>
  </si>
  <si>
    <t>ln</t>
  </si>
  <si>
    <t>No.</t>
  </si>
  <si>
    <t>Total</t>
  </si>
  <si>
    <t>Allocator</t>
  </si>
  <si>
    <t>TP</t>
  </si>
  <si>
    <t>(1)</t>
  </si>
  <si>
    <t>(2)</t>
  </si>
  <si>
    <t>(3)</t>
  </si>
  <si>
    <t>(4)</t>
  </si>
  <si>
    <t>(5)</t>
  </si>
  <si>
    <t xml:space="preserve">  Production</t>
  </si>
  <si>
    <t>NA</t>
  </si>
  <si>
    <t xml:space="preserve">  Transmission</t>
  </si>
  <si>
    <t>DA</t>
  </si>
  <si>
    <t xml:space="preserve">  Distribution</t>
  </si>
  <si>
    <t xml:space="preserve">  General Plant   </t>
  </si>
  <si>
    <t>W/S</t>
  </si>
  <si>
    <t xml:space="preserve">  Intangible Plant</t>
  </si>
  <si>
    <t xml:space="preserve">  Account No. 255 (enter negative)</t>
  </si>
  <si>
    <t xml:space="preserve">  Transmission </t>
  </si>
  <si>
    <t xml:space="preserve">  General </t>
  </si>
  <si>
    <t xml:space="preserve">  Intangible</t>
  </si>
  <si>
    <t xml:space="preserve">  Labor Related</t>
  </si>
  <si>
    <t xml:space="preserve">          Payroll</t>
  </si>
  <si>
    <t xml:space="preserve">  Plant Related</t>
  </si>
  <si>
    <t xml:space="preserve">         Property</t>
  </si>
  <si>
    <t xml:space="preserve">         Other</t>
  </si>
  <si>
    <t>TP=</t>
  </si>
  <si>
    <t>$</t>
  </si>
  <si>
    <t>Cost</t>
  </si>
  <si>
    <t>%</t>
  </si>
  <si>
    <t>Weighted</t>
  </si>
  <si>
    <t>A</t>
  </si>
  <si>
    <t>B</t>
  </si>
  <si>
    <t>C</t>
  </si>
  <si>
    <t>D</t>
  </si>
  <si>
    <t>E</t>
  </si>
  <si>
    <t>F</t>
  </si>
  <si>
    <t>G</t>
  </si>
  <si>
    <t>H</t>
  </si>
  <si>
    <t>I</t>
  </si>
  <si>
    <t>J</t>
  </si>
  <si>
    <t>K</t>
  </si>
  <si>
    <t>L</t>
  </si>
  <si>
    <t>M</t>
  </si>
  <si>
    <t>Labor</t>
  </si>
  <si>
    <t>(A)</t>
  </si>
  <si>
    <t>(B)</t>
  </si>
  <si>
    <t>(C)</t>
  </si>
  <si>
    <t>(D)</t>
  </si>
  <si>
    <t xml:space="preserve">Total transmission plant   </t>
  </si>
  <si>
    <t>Description</t>
  </si>
  <si>
    <t xml:space="preserve">REVENUE CREDITS </t>
  </si>
  <si>
    <t>Line</t>
  </si>
  <si>
    <t>Amount</t>
  </si>
  <si>
    <t>I.</t>
  </si>
  <si>
    <t>II.</t>
  </si>
  <si>
    <t>III.</t>
  </si>
  <si>
    <t>IV.</t>
  </si>
  <si>
    <t>Notes</t>
  </si>
  <si>
    <t>Letter</t>
  </si>
  <si>
    <t>Year</t>
  </si>
  <si>
    <t>Balance</t>
  </si>
  <si>
    <t>Total Included</t>
  </si>
  <si>
    <t>in Ratebase</t>
  </si>
  <si>
    <t>Other</t>
  </si>
  <si>
    <t xml:space="preserve">Total  </t>
  </si>
  <si>
    <t>Company</t>
  </si>
  <si>
    <t>Direct Payroll</t>
  </si>
  <si>
    <t>January</t>
  </si>
  <si>
    <t>March</t>
  </si>
  <si>
    <t>April</t>
  </si>
  <si>
    <t>May</t>
  </si>
  <si>
    <t>July</t>
  </si>
  <si>
    <t>August</t>
  </si>
  <si>
    <t>December</t>
  </si>
  <si>
    <t>September</t>
  </si>
  <si>
    <t xml:space="preserve">  Account No. 281.1 (enter negative)</t>
  </si>
  <si>
    <t xml:space="preserve">  Account No. 282.1 (enter negative)</t>
  </si>
  <si>
    <t xml:space="preserve">  Account No. 283.1 (enter negative)</t>
  </si>
  <si>
    <t xml:space="preserve">  Account No. 190.1</t>
  </si>
  <si>
    <t xml:space="preserve">     Plus: Acct. 924, Property Insurance</t>
  </si>
  <si>
    <t>WEIGHTED AVERAGE COST OF CAPITAL (WACC)</t>
  </si>
  <si>
    <t>RETURN ON RATE BASE (Rate Base*WACC)</t>
  </si>
  <si>
    <t xml:space="preserve">         Gross Receipts/Sales &amp; Use</t>
  </si>
  <si>
    <t xml:space="preserve">  Other (Excludes A&amp;G) </t>
  </si>
  <si>
    <t>322 &amp; 323.164,171,178.b</t>
  </si>
  <si>
    <t>Total Effective State Income Tax Rate</t>
  </si>
  <si>
    <t>Cash Working Capital</t>
  </si>
  <si>
    <t>PLANT HELD FOR FUTURE USE</t>
  </si>
  <si>
    <t>Source</t>
  </si>
  <si>
    <t>Materials &amp; Supplies</t>
  </si>
  <si>
    <t xml:space="preserve">  Prepayments (Account 165) - Labor Allocated</t>
  </si>
  <si>
    <t xml:space="preserve">  Prepayments (Account 165) - Gross Plant</t>
  </si>
  <si>
    <t>Account 930.2</t>
  </si>
  <si>
    <t>Account 930.1</t>
  </si>
  <si>
    <t>Account 928</t>
  </si>
  <si>
    <t>Average Balance</t>
  </si>
  <si>
    <t>Payroll Billed from AEP Service Corp.</t>
  </si>
  <si>
    <t>Total Other Operating Revenues To Reduce Revenue Requirement</t>
  </si>
  <si>
    <t>GTD=</t>
  </si>
  <si>
    <t xml:space="preserve"> Worksheet H-1 Form 1 Source Reference of Company Amounts on WS H</t>
  </si>
  <si>
    <t>made contributions toward the construction of System upgrades, and includes accrued interest and unreturned balance of contributions.  The annual interest</t>
  </si>
  <si>
    <t>Long Term Interest</t>
  </si>
  <si>
    <t xml:space="preserve">Preferred Dividends </t>
  </si>
  <si>
    <t>TRANSMISSION PLANT INCLUDED IN PJM TARIFF</t>
  </si>
  <si>
    <t>Transmission plant included in PJM Tariff</t>
  </si>
  <si>
    <t>Percent of transmission plant in PJM Tariff</t>
  </si>
  <si>
    <t>Removes plant excluded from the OATT because it does not meet the PJM's definition of Transmission Facilities or is otherwise ineligible to be recovered under the OATT.</t>
  </si>
  <si>
    <t>Less: Net Value of Exempted Generation Plant</t>
  </si>
  <si>
    <t xml:space="preserve">  Regional Market Expenses</t>
  </si>
  <si>
    <t>Worksheet D Supporting  IPP Credits</t>
  </si>
  <si>
    <t>Other Adjustments</t>
  </si>
  <si>
    <t>Production</t>
  </si>
  <si>
    <t xml:space="preserve">           Acct. 928 - Transmission Specific</t>
  </si>
  <si>
    <t>Remaining Unamortized Balance</t>
  </si>
  <si>
    <t>Amortization Period</t>
  </si>
  <si>
    <t>the percentage of federal income tax deductible for state income taxes.  See Worksheet G for the development of the Company's composite SIT.</t>
  </si>
  <si>
    <t>A utility that elected to utilize amortization of tax credits against taxable income, rather than book tax credits to Account No. 255 and reduce rate base, must reduce its income tax</t>
  </si>
  <si>
    <t>expense by the amount of the Amortized Investment Tax Credit (Form 1, 266.8.f)</t>
  </si>
  <si>
    <t>Regulatory Assets and Liabilities Approved for Recovery In Ratebase</t>
  </si>
  <si>
    <t xml:space="preserve"> Worksheet E Supporting Revenue Credits</t>
  </si>
  <si>
    <t xml:space="preserve"> Worksheet H Supporting Taxes Other than Income</t>
  </si>
  <si>
    <t xml:space="preserve"> Worksheet N - Gains (Losses) on Sales of Plant Held For Future Use</t>
  </si>
  <si>
    <t xml:space="preserve">           Acct 930.1 - Only safety related ads -Direct</t>
  </si>
  <si>
    <t xml:space="preserve">           Acct 930.2 - Misc Gen. Exp. - Trans</t>
  </si>
  <si>
    <t>Development of Common Stock:</t>
  </si>
  <si>
    <t xml:space="preserve">Proprietary Capital </t>
  </si>
  <si>
    <t>Common Stock</t>
  </si>
  <si>
    <t>N</t>
  </si>
  <si>
    <t xml:space="preserve">  Customer Related Expense</t>
  </si>
  <si>
    <t xml:space="preserve">  Regional Marketing Expenses</t>
  </si>
  <si>
    <t>TOTAL O&amp;M EXPENSES</t>
  </si>
  <si>
    <t xml:space="preserve">TOTAL REVENUE REQUIREMENT </t>
  </si>
  <si>
    <t xml:space="preserve">  Annual Rate</t>
  </si>
  <si>
    <t xml:space="preserve">  Monthly Rate</t>
  </si>
  <si>
    <t xml:space="preserve">   Project ROE Incentive Adder</t>
  </si>
  <si>
    <t>Weighted cost</t>
  </si>
  <si>
    <t>Rev Require</t>
  </si>
  <si>
    <t xml:space="preserve"> W Incentives</t>
  </si>
  <si>
    <t>Incentive Amounts</t>
  </si>
  <si>
    <t>Long Term Debt</t>
  </si>
  <si>
    <t>Preferred Stock</t>
  </si>
  <si>
    <t>Actual after True-up</t>
  </si>
  <si>
    <t>R =</t>
  </si>
  <si>
    <t>PROJECTED YEAR</t>
  </si>
  <si>
    <t xml:space="preserve">   Return (Rate Base  x  R)</t>
  </si>
  <si>
    <t xml:space="preserve">   Return   (from B. above)</t>
  </si>
  <si>
    <t xml:space="preserve">   Income Tax Calculation  (Return  x  CIT)</t>
  </si>
  <si>
    <t xml:space="preserve">   Income Taxes</t>
  </si>
  <si>
    <t xml:space="preserve">   Income Taxes  (from I.C. above)</t>
  </si>
  <si>
    <t>Calculation of Composite Depreciation Rate</t>
  </si>
  <si>
    <t>Composite Depreciation Rate</t>
  </si>
  <si>
    <t>Depreciable Life for Composite Depreciation Rate</t>
  </si>
  <si>
    <t>Round to nearest whole year</t>
  </si>
  <si>
    <t xml:space="preserve">   (e.g. ER05-925-000)</t>
  </si>
  <si>
    <t>Investment</t>
  </si>
  <si>
    <t>Current Year</t>
  </si>
  <si>
    <t>TRUE UP OF PROJECT REVENUE REQUIREMENT FOR PRIOR YEAR:</t>
  </si>
  <si>
    <t>Service Year (yyyy)</t>
  </si>
  <si>
    <t>ROE increase accepted by FERC (Basis Points)</t>
  </si>
  <si>
    <t>Service Month (1-12)</t>
  </si>
  <si>
    <t>FCR w/o incentives, less depreciation</t>
  </si>
  <si>
    <t>Useful life</t>
  </si>
  <si>
    <t>FCR w/incentives approved for these facilities, less dep.</t>
  </si>
  <si>
    <t>CIAC (Yes or No)</t>
  </si>
  <si>
    <t>Annual Depreciation Expense</t>
  </si>
  <si>
    <t>Beginning</t>
  </si>
  <si>
    <t>Depreciation</t>
  </si>
  <si>
    <t>Ending</t>
  </si>
  <si>
    <t>True-up of Incentive</t>
  </si>
  <si>
    <t xml:space="preserve">w/o Incentives </t>
  </si>
  <si>
    <t>Project Totals</t>
  </si>
  <si>
    <t xml:space="preserve">should be incremented by the amount of the incentive revenue calculated for that year on this project. </t>
  </si>
  <si>
    <t>Determine the Revenue Requirement, and Additional Revenue Requirement for facilities receiving incentives.</t>
  </si>
  <si>
    <t>A. Base Plan Facilities</t>
  </si>
  <si>
    <t>Facilities receiving incentives accepted by FERC in Docket No.</t>
  </si>
  <si>
    <t>Project Description:</t>
  </si>
  <si>
    <t>Details</t>
  </si>
  <si>
    <t>Incentive Rev.</t>
  </si>
  <si>
    <t>Current Projected Year ARR</t>
  </si>
  <si>
    <t>Current Projected Year ARR w/ Incentive</t>
  </si>
  <si>
    <t>w/o Incentives</t>
  </si>
  <si>
    <r>
      <t xml:space="preserve">   Return   (from </t>
    </r>
    <r>
      <rPr>
        <sz val="10"/>
        <rFont val="MS Serif"/>
        <family val="1"/>
      </rPr>
      <t>I</t>
    </r>
    <r>
      <rPr>
        <sz val="10"/>
        <rFont val="Arial"/>
        <family val="2"/>
      </rPr>
      <t>.B. above)</t>
    </r>
  </si>
  <si>
    <r>
      <t>with Incentives</t>
    </r>
    <r>
      <rPr>
        <b/>
        <sz val="10"/>
        <color indexed="10"/>
        <rFont val="Arial"/>
        <family val="2"/>
      </rPr>
      <t xml:space="preserve"> **</t>
    </r>
  </si>
  <si>
    <t>TOTAL DEPRECIATION AND AMORTIZATI0N</t>
  </si>
  <si>
    <t xml:space="preserve">   ITC Adjustment  </t>
  </si>
  <si>
    <t>(Note D)</t>
  </si>
  <si>
    <t>O</t>
  </si>
  <si>
    <t xml:space="preserve">  Prepayments (Account 165) - Transmission Only</t>
  </si>
  <si>
    <t>Account</t>
  </si>
  <si>
    <t>Gross Receipts Tax</t>
  </si>
  <si>
    <t>Federal Excise Tax</t>
  </si>
  <si>
    <t>Property</t>
  </si>
  <si>
    <t>Non-Allocable</t>
  </si>
  <si>
    <t xml:space="preserve"> Total Taxes by Allocable Basis</t>
  </si>
  <si>
    <r>
      <t xml:space="preserve">NOTE:  The net amount of hedging gains or losses recorded in account 427 to be recovered in this formula rate should be limited to the effective portion of pre-issuance cash flow hedges that are amortized over the life of the underlying debt issuances.  The recovery of a net loss or passback of a net gain will be limited to five basis points of the total Capital Structure.  </t>
    </r>
    <r>
      <rPr>
        <u/>
        <sz val="11"/>
        <rFont val="Arial"/>
        <family val="2"/>
      </rPr>
      <t>Amounts related to the ineffective portion of pre-issuance hedges, cash settlements of fair value hedges issued on Long Term Debt, post-issuance cash flow hedges, and cash flow hedges of variable rate debt issuances are not recoverable in this formula and are to be recorded in the “Excludable” column below.</t>
    </r>
  </si>
  <si>
    <t>Year End Total Agrees to FF1 p.112, Ln 3, col (c ) &amp; (d)</t>
  </si>
  <si>
    <t xml:space="preserve">Federal Unemployment Tax </t>
  </si>
  <si>
    <t xml:space="preserve">State Unemployment Insurance </t>
  </si>
  <si>
    <t xml:space="preserve">State Public Service Commission Fees </t>
  </si>
  <si>
    <t xml:space="preserve">State Franchise Taxes </t>
  </si>
  <si>
    <t xml:space="preserve">State Lic/Registration Fee  </t>
  </si>
  <si>
    <t xml:space="preserve">Misc. State and Local Tax </t>
  </si>
  <si>
    <t xml:space="preserve">Sales &amp; Use </t>
  </si>
  <si>
    <t xml:space="preserve">Federal Insurance Contribution (FICA ) </t>
  </si>
  <si>
    <t xml:space="preserve">Miscellaneous Taxes </t>
  </si>
  <si>
    <t>Revenue Taxes</t>
  </si>
  <si>
    <t>Real Estate and Personal Property Taxes</t>
  </si>
  <si>
    <t xml:space="preserve">Payroll Taxes </t>
  </si>
  <si>
    <t>DEFERRED TAX ADJUSTMENTS TO RATE BASE</t>
  </si>
  <si>
    <t>REGULATORY ASSETS</t>
  </si>
  <si>
    <t xml:space="preserve">     Less: Total Account 561</t>
  </si>
  <si>
    <t xml:space="preserve">               Acct. 928, Reg. Com. Exp.</t>
  </si>
  <si>
    <t xml:space="preserve">  Less:    Acct. 924, Property Insurance</t>
  </si>
  <si>
    <t xml:space="preserve">               Acct. 930.2, Misc. Gen. Exp.</t>
  </si>
  <si>
    <t xml:space="preserve">     Less: Regulatory Deferrals &amp; Amortizations</t>
  </si>
  <si>
    <t>Transmsission</t>
  </si>
  <si>
    <t>General</t>
  </si>
  <si>
    <t xml:space="preserve"> Transmission Materials &amp; Supplies</t>
  </si>
  <si>
    <t xml:space="preserve">  A&amp;G Materials &amp; Supplies </t>
  </si>
  <si>
    <t>INCOME TAXES</t>
  </si>
  <si>
    <t xml:space="preserve">     T=1 - {[(1 - SIT) * (1 - FIT)] / (1 - SIT * FIT * p)} =</t>
  </si>
  <si>
    <t xml:space="preserve">    EIT=(T/(1-T)) * (1-(WCLTD/WACC)) =</t>
  </si>
  <si>
    <t>Amortized Investment Tax Credit (enter negative)</t>
  </si>
  <si>
    <t xml:space="preserve">Income Tax Calculation </t>
  </si>
  <si>
    <t xml:space="preserve">     ITC adjustment</t>
  </si>
  <si>
    <t>(Note R)</t>
  </si>
  <si>
    <t>The currently effective income tax rate,  where FIT is the Federal income tax rate; SIT is the State income tax rate, and p =</t>
  </si>
  <si>
    <t xml:space="preserve">         Inputs Required:</t>
  </si>
  <si>
    <t>FIT =</t>
  </si>
  <si>
    <t>SIT=</t>
  </si>
  <si>
    <t>p =</t>
  </si>
  <si>
    <t xml:space="preserve">  (percent of federal income tax deductible for state purposes)</t>
  </si>
  <si>
    <t>P</t>
  </si>
  <si>
    <t>Q</t>
  </si>
  <si>
    <t>R</t>
  </si>
  <si>
    <t>S</t>
  </si>
  <si>
    <t>NOTE C</t>
  </si>
  <si>
    <t>Includes only FICA, unemployment, highway, property and other assessments charged in the current year.  Gross receipts, sales &amp; use and taxes related to income are excluded.</t>
  </si>
  <si>
    <t>RTEP Rev. Req't.</t>
  </si>
  <si>
    <t xml:space="preserve">          TEMPLATE BELOW TO MAINTAIN HISTORY OF PROJECTED ARRS OVER THE </t>
  </si>
  <si>
    <t>RTEP Projected Rev. Req't.From Prior Year WS J</t>
  </si>
  <si>
    <t>HEDGE AMOUNTS BY ISSUANCE (FROM p. 256-257 (i) of the FERC Form 1)</t>
  </si>
  <si>
    <t>Note: Regulatory Assets &amp; Liabilities can only be included in ratebase pursuant to a 205 filing with the FERC.</t>
  </si>
  <si>
    <t xml:space="preserve">Less: Account 216.1 </t>
  </si>
  <si>
    <t xml:space="preserve">          TEMPLATE BELOW TO MAINTAIN HISTORY OF TRUED-UP ARRS OVER THE </t>
  </si>
  <si>
    <t xml:space="preserve">         LIFE OF THE PROJECT.</t>
  </si>
  <si>
    <t>RTEP Rev Req't True-up</t>
  </si>
  <si>
    <t>RTEP Projected Rev. Req't.From Prior Year Template</t>
  </si>
  <si>
    <t>RTEP  Rev Req't True-up</t>
  </si>
  <si>
    <t>Less: Account 219</t>
  </si>
  <si>
    <t>Less: Preferred Stock</t>
  </si>
  <si>
    <t>1) Forfeited Discounts.</t>
  </si>
  <si>
    <t>2) Miscellaneous Service Revenues.</t>
  </si>
  <si>
    <t>5) Other electric revenues.</t>
  </si>
  <si>
    <t>6) Revenues for grandfathered PTP contracts included in the load divisor.</t>
  </si>
  <si>
    <t>NET PLANT CARRYING CHARGE w/o intra-AEP charges or credits or ROE incentives (Note B)</t>
  </si>
  <si>
    <t>FF1, page 214, ln 47, Col. (d)</t>
  </si>
  <si>
    <t xml:space="preserve">  Less: Distribution ARO (Enter Negative) </t>
  </si>
  <si>
    <t xml:space="preserve">  Less: General Plant ARO (Enter Negative) </t>
  </si>
  <si>
    <t xml:space="preserve">  Less: Production ARO (Enter Negative) </t>
  </si>
  <si>
    <t xml:space="preserve">  Less: Transmission ARO (Enter Negative) </t>
  </si>
  <si>
    <t>FF1, page 219, lns 20-24, Col. (b)</t>
  </si>
  <si>
    <t>FF1, page 219, ln 25, Col. (b)</t>
  </si>
  <si>
    <t>(Total Company Amount Ties to FFI p.114, Ln 14,(c))</t>
  </si>
  <si>
    <t>June</t>
  </si>
  <si>
    <t>Subtotal - Form 1, p 111.57.d</t>
  </si>
  <si>
    <t>Total O&amp;M Allocable to Transmission</t>
  </si>
  <si>
    <t xml:space="preserve">AEP East Companies </t>
  </si>
  <si>
    <t>Transmission Cost of Service Formula Rate</t>
  </si>
  <si>
    <t>AEP East Companies</t>
  </si>
  <si>
    <t xml:space="preserve">ITC Balances Includeable Ratebase </t>
  </si>
  <si>
    <t>Requirement ##</t>
  </si>
  <si>
    <t>Note: Gain or loss on plant held for future are recorded in accounts 411.6 or 411.7 respectiviely.  Sales will be funtionalized based on the description of that asset. Sales of transmission assets will be direct assigned; sales of general assets will be functionalized on labor.  Sales of plant held for future use related to generation or distribution will not be included in the formula.</t>
  </si>
  <si>
    <t>AEP EAST COMPANIES</t>
  </si>
  <si>
    <t>Worksheet  - P CALCULATION OF</t>
  </si>
  <si>
    <t>TOTAL WEIGHTED AVERAGE DEPRECIATION RATES</t>
  </si>
  <si>
    <t>FOR TRANSMISSION PLANT PROPERTY ACCOUNT</t>
  </si>
  <si>
    <t>FOR MULTIPLE JURISDICTION COMPANIES</t>
  </si>
  <si>
    <t>FERC WHOLESALE</t>
  </si>
  <si>
    <t>COMPANY</t>
  </si>
  <si>
    <t>WTD AVG.</t>
  </si>
  <si>
    <t>PLANT</t>
  </si>
  <si>
    <t>ALLOCATION</t>
  </si>
  <si>
    <t>DEPREC.</t>
  </si>
  <si>
    <t>APPROVED</t>
  </si>
  <si>
    <t>ACCT.</t>
  </si>
  <si>
    <t>RATES</t>
  </si>
  <si>
    <t>RATE</t>
  </si>
  <si>
    <t xml:space="preserve"> TRANSMISSION PLANT</t>
  </si>
  <si>
    <t xml:space="preserve">  Structures &amp; Improvements</t>
  </si>
  <si>
    <t xml:space="preserve">  Station Equipment</t>
  </si>
  <si>
    <t xml:space="preserve">  Towers &amp; Fixtures</t>
  </si>
  <si>
    <t xml:space="preserve">  Poles &amp; Fixtures</t>
  </si>
  <si>
    <t xml:space="preserve">  Underground Conduit</t>
  </si>
  <si>
    <t xml:space="preserve">  Underground Conductors</t>
  </si>
  <si>
    <t>GENERAL NOTES:</t>
  </si>
  <si>
    <t xml:space="preserve"> O &amp; M EXPENSE SUBTOTAL</t>
  </si>
  <si>
    <t xml:space="preserve">Includes functional wages &amp; salaries billed by AEP Service Corporation  for support of the operating company. </t>
  </si>
  <si>
    <t>321.112.b</t>
  </si>
  <si>
    <t>322.131.b</t>
  </si>
  <si>
    <t>323.185.b</t>
  </si>
  <si>
    <t>336.7.f</t>
  </si>
  <si>
    <t>336.10.f</t>
  </si>
  <si>
    <t>336.1.f</t>
  </si>
  <si>
    <t>(Note N)</t>
  </si>
  <si>
    <t>336.8.f</t>
  </si>
  <si>
    <t>336.2-6.f</t>
  </si>
  <si>
    <t xml:space="preserve"> (Note O)</t>
  </si>
  <si>
    <t>T</t>
  </si>
  <si>
    <t>(Note S)</t>
  </si>
  <si>
    <t xml:space="preserve">       and FIT, SIT &amp; p are as given in Note O.</t>
  </si>
  <si>
    <t>354.23.b</t>
  </si>
  <si>
    <t>354.24,25,26.b</t>
  </si>
  <si>
    <t>354.20.b</t>
  </si>
  <si>
    <t>REVENUE REQUIREMENT FOR SCHEDULE 1A CHARGES</t>
  </si>
  <si>
    <t>Total 561 Internally Developed Costs</t>
  </si>
  <si>
    <t xml:space="preserve">Total Load Dispatch &amp; Scheduling (Account 561) </t>
  </si>
  <si>
    <t>FF1, p. 227, ln 8, Col. (c) &amp; (b)</t>
  </si>
  <si>
    <t>FF1, p. 227, ln 11, Col. (c) &amp; (b)</t>
  </si>
  <si>
    <t>FF1, p. 227, ln 16, Col. (c) &amp; (b)</t>
  </si>
  <si>
    <t>Distribution</t>
  </si>
  <si>
    <t>State Business &amp; Occupation Tax</t>
  </si>
  <si>
    <t>Production Taxes</t>
  </si>
  <si>
    <t>State Severance Taxes</t>
  </si>
  <si>
    <t>FF1, page 205 Col.(g) &amp; pg. 204 Col. (b), ln 46</t>
  </si>
  <si>
    <t>FF1, page 207 Col.(g) &amp; pg. 206 Col. (b), ln 58</t>
  </si>
  <si>
    <t>FF1, page 207 Col.(g) &amp; pg. 206 Col. (b), ln 75</t>
  </si>
  <si>
    <t>FF1, page 207 Col.(g) &amp; pg. 206 Col. (b), ln 74</t>
  </si>
  <si>
    <t>FF1, page 205 Col.(g) &amp; pg. 204 Col. (b), ln 5</t>
  </si>
  <si>
    <t>FF1, page 205&amp;204, Col.(g)&amp;(b), lns 15,24,34,44</t>
  </si>
  <si>
    <t xml:space="preserve">   Effective State Tax Rate</t>
  </si>
  <si>
    <t>FF1, p. 274 - 275, ln 5, Col. (k)</t>
  </si>
  <si>
    <t>Current Projected Year Incentive ARR</t>
  </si>
  <si>
    <t>SUMMARY OF PROJECTED ANNUAL RTEP  REVENUE REQUIREMENTS</t>
  </si>
  <si>
    <t>TRUE-UP YEAR</t>
  </si>
  <si>
    <t>As Projected in Prior Year WS J</t>
  </si>
  <si>
    <t>SUMMARY OF TRUED-UP ANNUAL REVENUE REQUIREMENTS FOR RTEPPROJECTS</t>
  </si>
  <si>
    <t>Prior Yr Projected</t>
  </si>
  <si>
    <t>Prior Yr True-Up</t>
  </si>
  <si>
    <t>True-Up Adjustment</t>
  </si>
  <si>
    <t xml:space="preserve">Average </t>
  </si>
  <si>
    <t>CUMULATIVE HISTORY OF PROJECTED ANNUAL REVENUE REQUIREMENTS:</t>
  </si>
  <si>
    <t>In order to calculate the proper monthly RTEP billing amount, PJM requires a 12 month revenue requirement for each RTEP project.  As a result, notwithstanding the fact that the project was in service for a partial year, the project revenue requirement in the year that the project goes into service has been annualized (shown at the full-year level) so that PJM will collect the correct monthly billings.</t>
  </si>
  <si>
    <t>Relative Valuation Factor</t>
  </si>
  <si>
    <t>Functional Property Tax Allocation</t>
  </si>
  <si>
    <t>Real and Personal Property - Other Jurisdictions</t>
  </si>
  <si>
    <t>REVENUE REQUIREMENT For All Company Facilities</t>
  </si>
  <si>
    <t>A.   Determine Annual Revenue Requirement less return and Income Taxes.</t>
  </si>
  <si>
    <t>354.22.b</t>
  </si>
  <si>
    <t>with Incentives **</t>
  </si>
  <si>
    <t xml:space="preserve"> Worksheet J Supporting Calculation of PROJECTED PJM RTEP Project Revenue Requirement Billed to Benefiting Zones</t>
  </si>
  <si>
    <t xml:space="preserve"> Worksheet K Supporting Calculation of TRUE-UP PJM RTEP Project Revenue Requirement Billed to Benefiting Zones</t>
  </si>
  <si>
    <t>FF1, p. 266-267, ln 8, Col. (h)</t>
  </si>
  <si>
    <t xml:space="preserve"> Worksheet B Supporting ADIT and ITC Balances</t>
  </si>
  <si>
    <t>Less:  Load Dispatch - Scheduling, System Control and Dispatch Services (321.88.b)</t>
  </si>
  <si>
    <t>Less:  Load Dispatch - Reliability, Planning &amp; Standards Development Services (321.92.b)</t>
  </si>
  <si>
    <t xml:space="preserve">   R   (from A. above)</t>
  </si>
  <si>
    <t>CUMULATIVE HISTORY OF TRUED-UP ANNUAL REVENUE REQUIREMENTS:</t>
  </si>
  <si>
    <t>additional incentive requirement is applicable for the life of this specific project.  Each year the revenue requirement calculated for PJM</t>
  </si>
  <si>
    <t>Revenue credits include:</t>
  </si>
  <si>
    <t>3) Rental revenues earned on assets included in the rate base.</t>
  </si>
  <si>
    <t>4) Revenues for associated business projects provided by employees whose labor and overhead costs are in the transmission cost of service.</t>
  </si>
  <si>
    <t>(Note I) (Worksheet F, ln 4.C)</t>
  </si>
  <si>
    <t>FF1, page 219, ln 28, Col. (b)</t>
  </si>
  <si>
    <t xml:space="preserve">Account 450, Forfeited Discounts  (FF1 p.300.16.(b); Company Records - Note 1) </t>
  </si>
  <si>
    <t xml:space="preserve">Account 451,Miscellaneous Service Revenues  (FF1 p.300.17.(b); Company Records - Note 1) </t>
  </si>
  <si>
    <t xml:space="preserve">Account 454, Rent from Electric Property (FF1 p.300.19.(b); Company Records - Note 1) </t>
  </si>
  <si>
    <t>Accounts  4470004 &amp; 5, Revenues from Grandfathered Transmission Contracts - (Company Records - Note 1)</t>
  </si>
  <si>
    <t xml:space="preserve">     Plus: Transmission Lease Payments To Affiliates in Acct 565 (Company Records) (Note H)</t>
  </si>
  <si>
    <t>See Worksheet E for details.</t>
  </si>
  <si>
    <t xml:space="preserve"> Worksheet F Supporting Allocation of Specific O&amp;M or  A&amp;G Expenses</t>
  </si>
  <si>
    <t>Financial Hedge Recovery Limit  - Five Basis Points of Total Capital</t>
  </si>
  <si>
    <t>Limit of Recoverable Amount</t>
  </si>
  <si>
    <t>T =  Transmission</t>
  </si>
  <si>
    <t>G = General</t>
  </si>
  <si>
    <t>(Gain) / Loss</t>
  </si>
  <si>
    <t>U</t>
  </si>
  <si>
    <t>Worksheet C Supporting Working Capital Rate Base Adjustments</t>
  </si>
  <si>
    <t>Regulatory O&amp;M Deferrals &amp; Amortizations</t>
  </si>
  <si>
    <t>Total Regulatory Deferrals Included in Ratebase</t>
  </si>
  <si>
    <t>(Note E)</t>
  </si>
  <si>
    <t>Note 1</t>
  </si>
  <si>
    <t>(I)</t>
  </si>
  <si>
    <t xml:space="preserve">Average of </t>
  </si>
  <si>
    <t>Balances</t>
  </si>
  <si>
    <t xml:space="preserve">Subtotal - Form 1, p 111.57.c  </t>
  </si>
  <si>
    <t>(FF1 p.114, ln 19.c)</t>
  </si>
  <si>
    <t xml:space="preserve">  (State Income Tax Rate or Composite SIT.  Worksheet G))</t>
  </si>
  <si>
    <t>Average</t>
  </si>
  <si>
    <t>FF1, page 219, ln 26, Col. (b)</t>
  </si>
  <si>
    <t>FF1, page 200, ln 21, Col. (b)</t>
  </si>
  <si>
    <t>Account 281</t>
  </si>
  <si>
    <t>Account 282</t>
  </si>
  <si>
    <t>Account 283</t>
  </si>
  <si>
    <t xml:space="preserve">Account 190 </t>
  </si>
  <si>
    <t>Account 255</t>
  </si>
  <si>
    <t>FF1, p. 234, ln 8, Col. (c)</t>
  </si>
  <si>
    <t>Year End Utility Deferrals</t>
  </si>
  <si>
    <t>Transmission Related Deferrals</t>
  </si>
  <si>
    <t>FF1, p. 272 - 273, ln 8, Col. (k)</t>
  </si>
  <si>
    <t>FF1, p. 276 - 277, ln 9, Col. (k)</t>
  </si>
  <si>
    <t>Less:  ARO Related Deferrals</t>
  </si>
  <si>
    <t>Less: Other Excluded Deferrals</t>
  </si>
  <si>
    <t>Year End ITC Balances</t>
  </si>
  <si>
    <t xml:space="preserve">Less:  Balances Not Qualified for Ratebase </t>
  </si>
  <si>
    <t xml:space="preserve">Plant </t>
  </si>
  <si>
    <t>Related</t>
  </si>
  <si>
    <t>(E)+(F)+(G)</t>
  </si>
  <si>
    <t>Transmission Materials &amp; Supplies</t>
  </si>
  <si>
    <t xml:space="preserve"> Worksheet G Supporting - Development of Composite State Income Tax Rate</t>
  </si>
  <si>
    <t>General Materials &amp; Supplies</t>
  </si>
  <si>
    <t xml:space="preserve">  Stores Expense </t>
  </si>
  <si>
    <t>Excludable</t>
  </si>
  <si>
    <t>Plant Related Insurance Policies</t>
  </si>
  <si>
    <t>Excess Deferred Income Tax</t>
  </si>
  <si>
    <t>Tax Affect of Permanent Differences</t>
  </si>
  <si>
    <t>Facility Credits under PJM OATT Section 30.9</t>
  </si>
  <si>
    <t xml:space="preserve"> Revenue Requirement for PJM Schedule 12 Facilities (w/o incentives)  (Worksheet J/K)</t>
  </si>
  <si>
    <t>(Worksheet B, ln 2 &amp; ln 5.E)</t>
  </si>
  <si>
    <t>(Worksheet B, ln 7 &amp; ln 10.E)</t>
  </si>
  <si>
    <t>(Worksheet B, ln 12 &amp; ln 15.E)</t>
  </si>
  <si>
    <t>(Worksheet B, ln 17 &amp; ln 20.E)</t>
  </si>
  <si>
    <t>(Worksheet B, ln 24 &amp; ln 25.E)</t>
  </si>
  <si>
    <t>(Worksheet C, ln 2.(F))</t>
  </si>
  <si>
    <t>(Worksheet C, ln 3.(F))</t>
  </si>
  <si>
    <t>(Worksheet C, ln 4.(F))</t>
  </si>
  <si>
    <t>(Note F) (Worksheet D, ln 8.B)</t>
  </si>
  <si>
    <t xml:space="preserve"> (Note U)</t>
  </si>
  <si>
    <t xml:space="preserve"> Worksheet I RESERVED FOR FUTURE USE</t>
  </si>
  <si>
    <t xml:space="preserve"> Worksheet L Reserved for Future Use</t>
  </si>
  <si>
    <t>True-up Adjustment - Over (Under) Recovery</t>
  </si>
  <si>
    <t>Interest Rate on Amount of Refunds or Surcharges</t>
  </si>
  <si>
    <t>Over (Under) Recovery Plus Interest</t>
  </si>
  <si>
    <t>Average Monthly Interest Rate</t>
  </si>
  <si>
    <t>Months</t>
  </si>
  <si>
    <t>Calculated Interest</t>
  </si>
  <si>
    <t>Amortization</t>
  </si>
  <si>
    <t>Surcharge (Refund) Owed</t>
  </si>
  <si>
    <t xml:space="preserve"> from 35.19a  </t>
  </si>
  <si>
    <t>Calculation of Interest</t>
  </si>
  <si>
    <t>Monthly</t>
  </si>
  <si>
    <t>February</t>
  </si>
  <si>
    <t>October</t>
  </si>
  <si>
    <t>November</t>
  </si>
  <si>
    <t>Annual</t>
  </si>
  <si>
    <t>January  through December</t>
  </si>
  <si>
    <t>Over (Under) Recovery Plus Interest Amortized and Recovered Over 12 Months</t>
  </si>
  <si>
    <t>Less Over (Under) Recovery</t>
  </si>
  <si>
    <t>Total Interest</t>
  </si>
  <si>
    <t>Cost of Service Formula Rate Using Actual/Projected FF1 Balances</t>
  </si>
  <si>
    <t>Worksheet Q - True-up With Interest</t>
  </si>
  <si>
    <t>True-Up Adjustment with Interest</t>
  </si>
  <si>
    <t>Note 1:  The interest rate to be applied to the over recovery or under recovery amounts will be determined using the average monthly FERC interest rate (as determined pursuant to 18 C.F.R. Section 35.19a) for the twenty (20) months from the beginning of the rate year being trued-up through August 31 of the following year.</t>
  </si>
  <si>
    <t>(Worksheet C, ln 8.F)</t>
  </si>
  <si>
    <t>(Worksheet C, ln 8.G)</t>
  </si>
  <si>
    <t>(Worksheet C, ln 8.E)</t>
  </si>
  <si>
    <t>(Worksheet C, ln 8.D)</t>
  </si>
  <si>
    <t>7) If AEP East companies have any directly assigned transmission facilities, the revenue credits in the AEP East formula rate shall include all revenues associated with those directly assigned transmission facilities, irrespective of whether the loads of the customer are included in the formula rate divisor; provided however, such addition to revenue credits shall not be reflected if the costs of such directly assigned transmission facilities are not included in the transmission plant balances on which the formula rate ATRR is based.</t>
  </si>
  <si>
    <t>The company will not include the ADIT portion of deferred hedge gains and losses in rate base.  Detailed balances for the projected or actual period, distinguished between utility and non-utility balances, will be filed and posted as part of the information filing.</t>
  </si>
  <si>
    <t xml:space="preserve">The total-company balances shown for Accounts 281, 282, 283, 190 only reflect ADIT that relates to utility operations. The balance of Account 255 is reduced by prior flowthrough and is completely excluded if the utility chose to utilize amortization of tax credits against FIT expense. An exception to this is pre-1971 ITC balances, which are required to be taken as an offset to rate base. Account 281 is not allocated.  </t>
  </si>
  <si>
    <t>In compliance with FERC Rulemaking the calculation of ADIT in the annual projection will be performed in accordance with IRS regulation Section1.167(I)-I(h)(6)(ii).</t>
  </si>
  <si>
    <t>RM02-7-000, Asset Retirement Obligation deferrals have been removed from ratebase. Transmission ADIT allocations are shown on WS B.</t>
  </si>
  <si>
    <t xml:space="preserve">Removes the impact of state regulatory deferrals or their amortization from Transmission O&amp;M expense. </t>
  </si>
  <si>
    <t>Expenses recorded in FERC Accounts 928 (Regulatory Commission Expense), 930.1 (Safety Related Advertising) and 930.2 (Miscellaneouse General Expenses) that are not directly related to or properly allocable to transmission service will be removed from the TCOS.  If AEP includes any expenses booked to these accounts in future ATRR updates, AEP must provide supporting information demonstrating that the underlying activities are directly related to providing transmission service.  Account 930.2 includes the expenses incurred by the transmission function for Associated Business Development revenues given as a credit to the TCOS on Worksheet E.</t>
  </si>
  <si>
    <t>The cost rates for long-term debt shall include interest expense and related periodic expenses (such as remarketing and letter of credit fees) as recorded in FERC Account 427 or 430, amortization of issuance costs (including insurance) and discounts as recorded in FERC Account 428, issuance premiums as recorded in FERC Account 429 and losses or gains on reacquired debt as recorded in FERC Accounts 428.1 or 429.1, respectively.  The cost rates for preferred stock (if applicable) shall include the dividends.</t>
  </si>
  <si>
    <t>Cash investment in prepaid pension and benefits recorded in FERC Account 165 is permitted to be included in the formula.  A labor expense allocation factor will be used to allocate total company costs.  All other prepayments recorded in FERC Account 165 are directly assigned to the transmission function,  allocated or excludable balances detailed on Worksheet C.</t>
  </si>
  <si>
    <t>V</t>
  </si>
  <si>
    <t>X</t>
  </si>
  <si>
    <t>W</t>
  </si>
  <si>
    <t>The formula rate shall allocate property tax expense based on the as filed net plant cost allocation method detailed on Worksheet H.</t>
  </si>
  <si>
    <t>Under Section 30.9 of the PJM OATT, a network customer that owns existing transmission facilities that are integrated with the Transmission Provider’s Transmission System may be eligible to receive consideration either through a billing credit or some other mechanism.  Calculation of any credit under this subsection, pursuant to approval by FERC for inclusion in this formula rate for collection on behalf of the network customer, shall be addressed in either the Network Customer’s Service Agreement or any other agreement between the parties.</t>
  </si>
  <si>
    <t xml:space="preserve">   Annual Revenue Requirement, Less Lease Payments, Return and Taxes</t>
  </si>
  <si>
    <t>ADDITIONAL REVENUE REQUIREMENT for projects w/ incentive ROE's (Note B) (Worksheet J/K)</t>
  </si>
  <si>
    <t xml:space="preserve">The formula rate shall reflect the applicable state and federal statutory tax rates in effect during the period the calculated estimated unit charges are applicable.  </t>
  </si>
  <si>
    <t>If the statutory tax rates change during such period, the effective tax rates used in the formula shall be weighted by the number of days the pre-change rate and post-change rate each is in effect.</t>
  </si>
  <si>
    <t>The annual and monthly net plant carrying charges on page 1 are used to compute the revenue requirement for RTEP sponsored upgrades or those projects receiving approved incentive-ROE's.  Interest  will be calculated based on Worksheet Q and any over under recovery will be filed and posted as part of the informational filing.</t>
  </si>
  <si>
    <t xml:space="preserve">Prepaid Lease </t>
  </si>
  <si>
    <t>Real and Personal Property - Tennessee</t>
  </si>
  <si>
    <t>Less: Net Value  Exempted Generation Plant</t>
  </si>
  <si>
    <t>Taxable Property Basis</t>
  </si>
  <si>
    <t>Real and Personal Property - West Virginia</t>
  </si>
  <si>
    <t>Real and Personal Property - Virginia</t>
  </si>
  <si>
    <t xml:space="preserve">**  This is the total amount that needs to be reported to PJM for billing to all regions. </t>
  </si>
  <si>
    <t>## This is the calculation of  additional incentive revenue on projects deemed by the FERC to be eligible for an incentive return.  This</t>
  </si>
  <si>
    <t>VIRGINIA</t>
  </si>
  <si>
    <t>WEST VIRGINIA</t>
  </si>
  <si>
    <t>FERC KINGSPORT</t>
  </si>
  <si>
    <t>PSC OF WV</t>
  </si>
  <si>
    <t>VA SCC</t>
  </si>
  <si>
    <t>FACTOR  (5)</t>
  </si>
  <si>
    <t xml:space="preserve">  Land Rights - Va.</t>
  </si>
  <si>
    <t xml:space="preserve">  Energy Storage Equip</t>
  </si>
  <si>
    <t xml:space="preserve">  Overhead Conductor</t>
  </si>
  <si>
    <t xml:space="preserve">(4)  </t>
  </si>
  <si>
    <t xml:space="preserve">(5)  </t>
  </si>
  <si>
    <t>Attachment H-14B, Part II, pg. 15 of 21.</t>
  </si>
  <si>
    <t xml:space="preserve">(6)  </t>
  </si>
  <si>
    <t>APCo falls under the authority of Virginia, West Virginia and the FERC.  Therefore, APCo's rates are a composite of the jurisdictions under which it operates. Each jurisdictions' rate is multiplied by an allocation factor, and the product for each jurisdiction is added with the other jurisdictions to derive the composite rate for the company.</t>
  </si>
  <si>
    <t xml:space="preserve">(Worksheet E Ln 8) (Note A) </t>
  </si>
  <si>
    <t>(Worksheet E Ln 9) (Note X)</t>
  </si>
  <si>
    <t>Note 2</t>
  </si>
  <si>
    <t>The total of line 4 and line 5 will equal total Account 456 as listed on FF1 p.300.21-22.(b)</t>
  </si>
  <si>
    <t>5a</t>
  </si>
  <si>
    <t>5b</t>
  </si>
  <si>
    <t>Account 457.2, Miscellaneous Revenues (FF1p.300.24.(b); Company Records - Note 1)</t>
  </si>
  <si>
    <t>Account 457.1, Regional Control Service  Revenues (FF1 p.300.23.(b); Company Records - Note 1)</t>
  </si>
  <si>
    <t>Total (FERC Form 1 p.323.189.b)</t>
  </si>
  <si>
    <t>Total (FERC Form 1 p.323.191.b)</t>
  </si>
  <si>
    <t>Total (FERC Form 1 p.323.192.b)</t>
  </si>
  <si>
    <t>Gross Proceeds Outstanding Long-Term Debt</t>
  </si>
  <si>
    <t>Y</t>
  </si>
  <si>
    <t>Note 1:</t>
  </si>
  <si>
    <t>Transmission Accum Depreciation net of GSU</t>
  </si>
  <si>
    <t>December  of Rate Year</t>
  </si>
  <si>
    <t xml:space="preserve">August </t>
  </si>
  <si>
    <t xml:space="preserve">March </t>
  </si>
  <si>
    <t>December Prior to Rate Year</t>
  </si>
  <si>
    <t>Company Records</t>
  </si>
  <si>
    <t>(Note A)</t>
  </si>
  <si>
    <t>(e)</t>
  </si>
  <si>
    <t>(d)</t>
  </si>
  <si>
    <t>(c)</t>
  </si>
  <si>
    <t>(b)</t>
  </si>
  <si>
    <t>(a)</t>
  </si>
  <si>
    <t>Excluded Plant  - Accumulated Depreciation</t>
  </si>
  <si>
    <t>Excluded Plant  - Plant In Service</t>
  </si>
  <si>
    <t>OATT Ancillary Services (GSU) Accumulated Depreciation</t>
  </si>
  <si>
    <t>OATT Ancillary Services (GSU) Plant In Service</t>
  </si>
  <si>
    <t>Month</t>
  </si>
  <si>
    <t>Line 
No</t>
  </si>
  <si>
    <t>(j)</t>
  </si>
  <si>
    <t>(i)</t>
  </si>
  <si>
    <t>(h)</t>
  </si>
  <si>
    <t>Intangible</t>
  </si>
  <si>
    <t>General ARO</t>
  </si>
  <si>
    <t>Distribution ARO</t>
  </si>
  <si>
    <t>Transmission ARO</t>
  </si>
  <si>
    <t>Production ARO</t>
  </si>
  <si>
    <t>Accumulated Depreciation</t>
  </si>
  <si>
    <t>Gross Plant In Service</t>
  </si>
  <si>
    <t xml:space="preserve"> Worksheet A Rate Base</t>
  </si>
  <si>
    <t>(f)</t>
  </si>
  <si>
    <t>(g)</t>
  </si>
  <si>
    <t>Acct. 359.1
FF1, page 207 Col.(g) &amp; pg. 206 Col. (b), ln 57</t>
  </si>
  <si>
    <t xml:space="preserve">
FF1, page 207 Col.(g) &amp; pg. 206 Col. (b), ln 99</t>
  </si>
  <si>
    <t>Acct. 399.1
FF1, page 207 Col.(g) &amp; pg. 206 Col. (b), ln 98</t>
  </si>
  <si>
    <t>Company Records (Included in total in Column (b))</t>
  </si>
  <si>
    <t>Company Records (Included in total in Column (d))</t>
  </si>
  <si>
    <t>Company Records (Included in total in Column (f))</t>
  </si>
  <si>
    <t>Company Records (Included in total in Column (h))</t>
  </si>
  <si>
    <t>Company Records (included in total in column (d) of gross plant above)</t>
  </si>
  <si>
    <t>Company Records (included in total in column (b) of accumulated depreciation above)</t>
  </si>
  <si>
    <t>Tax Year</t>
  </si>
  <si>
    <t>NOTE 2: The ratebase should not include the unamoritzed balance of hedging gains or losses.</t>
  </si>
  <si>
    <t xml:space="preserve">NOTE 1: On this worksheet, "Company Records" refers to AEP's property accounting ledger. </t>
  </si>
  <si>
    <t>Worksheet M Supporting Calculation of Capital Structure and Weighted Average Cost of Capital</t>
  </si>
  <si>
    <t>Proprietary Capital</t>
  </si>
  <si>
    <t>Less Undistributed Sub Earnings (Acct 216.1)</t>
  </si>
  <si>
    <t>Less AOCI (Acct 219.1)</t>
  </si>
  <si>
    <t>(f)=(b)-( c)-(d)-( e)</t>
  </si>
  <si>
    <t xml:space="preserve"> (FF1 112.16)</t>
  </si>
  <si>
    <t xml:space="preserve"> (FF1 250-251)</t>
  </si>
  <si>
    <t xml:space="preserve"> (FF1 112.12)</t>
  </si>
  <si>
    <t>(FF1 112.15)</t>
  </si>
  <si>
    <t>Average Balance of Long Term Debt</t>
  </si>
  <si>
    <t>Less: Fair Value Hedges</t>
  </si>
  <si>
    <t>(g)=(b)-( c)+(d)+( e)-(f)</t>
  </si>
  <si>
    <t xml:space="preserve"> (FF1 112.18)</t>
  </si>
  <si>
    <t xml:space="preserve"> (FF1 112.19)</t>
  </si>
  <si>
    <t xml:space="preserve"> (FF1 112.20)</t>
  </si>
  <si>
    <t>(FF1 112.21)</t>
  </si>
  <si>
    <t>FF1, page 257, Col. (h) - Note 1</t>
  </si>
  <si>
    <t>NOTE 1:  The balance of fair value hedges on outstanding long term debt are to be excluded from the balance of long term debt included in the formula's capital structure. (Page 257 Column H of the FF1)</t>
  </si>
  <si>
    <t>Acct 224
Senior Unsecured Notes</t>
  </si>
  <si>
    <t>Acct 223 
LT Advances from Assoc. Companies</t>
  </si>
  <si>
    <t>Less: Acct 222 Reacquired Bonds</t>
  </si>
  <si>
    <t>Acct 221 
Bonds</t>
  </si>
  <si>
    <t>(DEBIT)  CREDIT</t>
  </si>
  <si>
    <t>COLUMN A</t>
  </si>
  <si>
    <t>COLUMN B</t>
  </si>
  <si>
    <t>COLUMN C</t>
  </si>
  <si>
    <t>COLUMN D</t>
  </si>
  <si>
    <t>COLUMN E</t>
  </si>
  <si>
    <t>COLUMN F</t>
  </si>
  <si>
    <t>COLUMN G</t>
  </si>
  <si>
    <t>COLUMN H</t>
  </si>
  <si>
    <t>COLUMN I</t>
  </si>
  <si>
    <t>COLUMN J</t>
  </si>
  <si>
    <t>COLUMN K</t>
  </si>
  <si>
    <t>COLUMN L</t>
  </si>
  <si>
    <t>COLUMN M</t>
  </si>
  <si>
    <t>COLUMN N</t>
  </si>
  <si>
    <t>COLUMN O</t>
  </si>
  <si>
    <t>PER BOOKS</t>
  </si>
  <si>
    <t>NON-APPLICABLE/NON-UTILITY</t>
  </si>
  <si>
    <t>AVERAGE</t>
  </si>
  <si>
    <t>FUNCTIONALIZATION AVERAGE</t>
  </si>
  <si>
    <t xml:space="preserve">ELECTRIC </t>
  </si>
  <si>
    <t>BALANCE AS</t>
  </si>
  <si>
    <t>UTILITY</t>
  </si>
  <si>
    <t>ACCUMULATED DEFERRED FIT ITEMS</t>
  </si>
  <si>
    <t>(B+C+D+E)/2</t>
  </si>
  <si>
    <t>GENERATION</t>
  </si>
  <si>
    <t>TRANSMISSION</t>
  </si>
  <si>
    <t>DISTRIBUTION</t>
  </si>
  <si>
    <t>ACCOUNT 281:</t>
  </si>
  <si>
    <t>TOTAL ACCOUNT 281</t>
  </si>
  <si>
    <t>ACCOUNT 282:</t>
  </si>
  <si>
    <t>TOTAL ACOUNT 282</t>
  </si>
  <si>
    <t>ACCOUNT 283:</t>
  </si>
  <si>
    <t>DEFD STATE INCOME TAXES</t>
  </si>
  <si>
    <t>TOTAL ACCOUNT 283</t>
  </si>
  <si>
    <t>JURISDICTIONAL AMOUNTS FUNCTIONALIZED</t>
  </si>
  <si>
    <t>TOTAL COMPANY AMOUNTS FUNCTIONALIZED</t>
  </si>
  <si>
    <t>REFUNCTIONALIZED BASED ON JURISDICTIONAL PLANT</t>
  </si>
  <si>
    <t>NOTE:  POST 1970 ACCUMULATED DEFERRED</t>
  </si>
  <si>
    <t xml:space="preserve">             INV TAX CRED. (JDITC) IN A/C 255</t>
  </si>
  <si>
    <t>TOTAL ACCOUNT 255</t>
  </si>
  <si>
    <t>DEBIT  (CREDIT)</t>
  </si>
  <si>
    <t>ACCOUNT 190:</t>
  </si>
  <si>
    <t>TOTAL ACCOUNT 190</t>
  </si>
  <si>
    <t>ACCOUNT 282 - ARO-Related Deferals</t>
  </si>
  <si>
    <t>ACCOUNT 283 - ARO-Related Deferals</t>
  </si>
  <si>
    <t>ACCOUNT 190 - ARO-Related Deferals</t>
  </si>
  <si>
    <t>ACCOUNT 281 - ARO-Related Deferrals</t>
  </si>
  <si>
    <t>UNFUNDED RESERVES (ENTER NEGATIVE) (NOTE Y)</t>
  </si>
  <si>
    <t>Tax Effect of Permanent and Flow-Through Differences</t>
  </si>
  <si>
    <t>323.197.b (Notes J and M)</t>
  </si>
  <si>
    <t>53a</t>
  </si>
  <si>
    <t>53b</t>
  </si>
  <si>
    <t>Real Estate and Personal Property Taxes Total
(Ln 4 + Ln 5 + Ln 6 + Ln 7)</t>
  </si>
  <si>
    <t>Transmission Function
(Note 2)</t>
  </si>
  <si>
    <t>Total
Company</t>
  </si>
  <si>
    <t>FERC FORM 1
Tie-Back</t>
  </si>
  <si>
    <t>Real Estate and Personal Propety Tax Detail 
Annual Tax Expenses by Type (Note 1)</t>
  </si>
  <si>
    <t>Unfunded Reserves Summary (Company Records)</t>
  </si>
  <si>
    <t>GP</t>
  </si>
  <si>
    <r>
      <t>NP</t>
    </r>
    <r>
      <rPr>
        <b/>
        <strike/>
        <sz val="12"/>
        <color indexed="10"/>
        <rFont val="Arial"/>
        <family val="2"/>
      </rPr>
      <t/>
    </r>
  </si>
  <si>
    <t>Excess / (Deficit) Deferred Income Taxes will be amortized over the average remaining life of the assets to which it relates, unless the Commission requires a different amortization period. The Tax Effect of Permanent Differences captures the differences in the income taxes due under the Federal and State tax calculations that are not the result of a timing difference, including but not limited to depreciation related to capitalized AFUDC equity and meals and entertainment deductions. The Tax Effect of Flow-Through differences captures current tax expense related to timing differences on items for which tax deductions were used to reduce customer rates through the use of flow-through accounting in a prior period.  Transmission balances for the projected or actual period, will be filed and posted as part of the informational filing.</t>
  </si>
  <si>
    <t>Prepayment Balance Summary (Note 1)</t>
  </si>
  <si>
    <t>Stores Expense (Undistributed) - Account 163</t>
  </si>
  <si>
    <t>Account 4560015, Associated Business Development - (Company Records - Notes 1, 2)</t>
  </si>
  <si>
    <t>Account 456 - Other Electric Revenues - (Company Records - Notes 1,2)</t>
  </si>
  <si>
    <t>Note 1: The taxes assessed on each operating company can differ from year to year and between operating companies by both the type of taxes and the states in which they were assessed.  Therefore, for each company, the types and jurisdictions of tax expense recorded on this page could differ from the same page in the same company's prior year template or from this page in other operating companies' current year templates. For each update, this sheet will be revised to ensure that the total activity recorded hereon equals the total reported in account 408.1 on P. 114, Ln 14.(c) of the Ferc Form 1.</t>
  </si>
  <si>
    <t>Interest on Long Term Debt - Accts 221 - 224 (256-257.33.i)</t>
  </si>
  <si>
    <t>Amort of Debt Discount &amp; Expense - Acct 428 (117.63.c)</t>
  </si>
  <si>
    <t>Amort of Loss on Reacquired Debt - Acct 428.1 (117.64.c)</t>
  </si>
  <si>
    <t>Less: Amort of Premium on Debt - Acct 429 (117.65.c)</t>
  </si>
  <si>
    <t>Less: Amort of Gain on Reacquired Debt - Acct 429.1 (117.66.c)</t>
  </si>
  <si>
    <t>Worksheet K -  ATRR TRUE-UP Calculation for PJM Projects Charged to Benefiting Zones</t>
  </si>
  <si>
    <t>INDIANA MICHIGAN POWER COMPANY</t>
  </si>
  <si>
    <t>INDIANA</t>
  </si>
  <si>
    <t>MPSC</t>
  </si>
  <si>
    <t>IURC</t>
  </si>
  <si>
    <t>FACTOR  (4)</t>
  </si>
  <si>
    <t xml:space="preserve">  Land Improvements</t>
  </si>
  <si>
    <t xml:space="preserve">  Overhead Conductors</t>
  </si>
  <si>
    <t xml:space="preserve">  Trails &amp; Roads</t>
  </si>
  <si>
    <t xml:space="preserve">  (4) The rates approved for each jurisdiction are updated when approved by that commission.  These demand-based allocation factors for all jurisdictions are updated when new rates are approved in one of the jurisdictions.  These allocation factors reflect I&amp;M's 12 monthly Coincident Peaks during test year of the most recent rate case.</t>
  </si>
  <si>
    <t>I&amp;M falls under the authority of Indiana, Michigan and the FERC.  Therefore, I&amp;M's rates are a composite of the jurisdictions under which it operates. Each jurisdictions' rate is multiplied by an allocation factor, and the product for each jurisdiction is added with the other jurisdictions to derive the composite rate for the company.</t>
  </si>
  <si>
    <t>PJM FORMULA RATE</t>
  </si>
  <si>
    <t>WORKSHEET P - TRANSMISSION DEPRECIATION RATES</t>
  </si>
  <si>
    <t>EFFECTIVE AS OF 09/1/2016</t>
  </si>
  <si>
    <t>FOR SINGLE JURISDICTION COMPANIES</t>
  </si>
  <si>
    <t>KINGSPORT POWER COMPANY</t>
  </si>
  <si>
    <t xml:space="preserve">  Composite Transmission Depreciation Rate</t>
  </si>
  <si>
    <t>Reference:</t>
  </si>
  <si>
    <t>Note 1:   Rates Approved In Tennessee Regulatory Authority Docket No. 16-00001.</t>
  </si>
  <si>
    <t>Note 2:  Kingsport Power Company does not have investment in plant accounts 357 or 358.  Therefore, there are no depreciation rates approved for these plant accounts.</t>
  </si>
  <si>
    <t>General Note</t>
  </si>
  <si>
    <t>EFFECTIVE AS OF 07/1/2015</t>
  </si>
  <si>
    <t>KENTUCKY  POWER COMPANY</t>
  </si>
  <si>
    <t xml:space="preserve">  Land Rights</t>
  </si>
  <si>
    <t>Note 1:  Rates Approved in KPSC Case No. 2014-00396.</t>
  </si>
  <si>
    <t>OHIO POWER COMPANY</t>
  </si>
  <si>
    <t xml:space="preserve">   Twrs and Fixtures Above 69 KV</t>
  </si>
  <si>
    <t xml:space="preserve">   Twrs and Fixtures Below 69 KV</t>
  </si>
  <si>
    <t xml:space="preserve">   Poles and Fixtures Above 69 KV</t>
  </si>
  <si>
    <t xml:space="preserve">   Poles and Fixtures Below 69 KV</t>
  </si>
  <si>
    <t xml:space="preserve">   Overhead Conductor &amp; Devices Above 69KV</t>
  </si>
  <si>
    <t xml:space="preserve">   Overhead Conductor &amp; Devices MSP</t>
  </si>
  <si>
    <t xml:space="preserve">   Overhead Conductor &amp; Devices 138KV/Above</t>
  </si>
  <si>
    <t xml:space="preserve">   Overhead Conductor &amp; Devices 69KV/Below</t>
  </si>
  <si>
    <t xml:space="preserve">   Overhead Conductor &amp; Devices CLR 69KV/Below</t>
  </si>
  <si>
    <t>General Note:</t>
  </si>
  <si>
    <t>WHEELING POWER COMPANY</t>
  </si>
  <si>
    <t>-</t>
  </si>
  <si>
    <t>GENERAL PLANT</t>
  </si>
  <si>
    <t>Structures &amp; Improvements</t>
  </si>
  <si>
    <t>Office Furniture &amp; Equipment</t>
  </si>
  <si>
    <t>Stores Equipment</t>
  </si>
  <si>
    <t>Tools Shop &amp; Garage Equipment</t>
  </si>
  <si>
    <t>Laboratory Equipment</t>
  </si>
  <si>
    <t>Communication Equipment</t>
  </si>
  <si>
    <t>Miscellaneous Equipment</t>
  </si>
  <si>
    <t>Total General Plant</t>
  </si>
  <si>
    <t>On this worksheet, "Company Records" refers to AEP's tax forecast and accounting ledger.  The PTRR will use projected ending balances and reflect proration required by IRS Letter Rule Section I.I67(I)-I(h)(6)(ii).  Line item detail of actual deferred tax items will be included on Worksheets B-1 and B-2.</t>
  </si>
  <si>
    <t>Tax Year 
Factor
(Note 2)</t>
  </si>
  <si>
    <t>SPECIFIED DEFERRED CREDITS - Actual Cycle Only</t>
  </si>
  <si>
    <t>ACCUMULATED DEFERRED INCOME TAX IN ACCOUNT 190 - Actual Cycle Only</t>
  </si>
  <si>
    <t>Twelve Months Ended</t>
  </si>
  <si>
    <t>Prepayment Balance will not include: (i) federal and state income tax payments made to offset additional tax liabilities resulting (or expected to result) from prior federal or state audits or from the filing of one or more amended income tax returns; (ii) outstanding income tax refunds due to the company resulting (or expected to result) from prior federal or state audits or from the filing of one or more amended income tax returns; or (iii) prepayments of federal or state income taxes which are attributable to income earned during periods prior to January 1 of the year depicted in the Balance Sheet (as described in USofA Account 236).</t>
  </si>
  <si>
    <r>
      <t>Transmission Plant Held For Future Use</t>
    </r>
    <r>
      <rPr>
        <b/>
        <sz val="10"/>
        <rFont val="Arial"/>
        <family val="2"/>
      </rPr>
      <t xml:space="preserve"> (Included in total on line 44)</t>
    </r>
  </si>
  <si>
    <t>AEP will make a 205 filing whenever a company's rates are changed by their commission(s), or if the methodology to calculate the jurisdictional allocator in multiple-state companies changes.   Changes in the allocation factors will not necessitate a 205 filing.</t>
  </si>
  <si>
    <t>Total AEP East Operating Company PBOP Settlement Amount</t>
  </si>
  <si>
    <t>Total Company Amount</t>
  </si>
  <si>
    <t>Actual Expense (Including AEPSC Billed OPEB)</t>
  </si>
  <si>
    <t>Ratio of Company Actual to Total</t>
  </si>
  <si>
    <t>Allocation of PBOB Recovery Allowance</t>
  </si>
  <si>
    <t>One Year Functional Expense (Over)/Under</t>
  </si>
  <si>
    <t>Allowable Expense</t>
  </si>
  <si>
    <t>Line#</t>
  </si>
  <si>
    <t>Actual Expense</t>
  </si>
  <si>
    <t>(B)=(A)/Total (A)</t>
  </si>
  <si>
    <t>(E)=(A) * (D)</t>
  </si>
  <si>
    <t>(F)=(C) * (D)</t>
  </si>
  <si>
    <t>(G)=(E) - (F)</t>
  </si>
  <si>
    <t>APCo</t>
  </si>
  <si>
    <t>I&amp;M</t>
  </si>
  <si>
    <t>KPCo</t>
  </si>
  <si>
    <t>KNGP</t>
  </si>
  <si>
    <t>OPCo</t>
  </si>
  <si>
    <t>WPCo</t>
  </si>
  <si>
    <t>KNGSPT</t>
  </si>
  <si>
    <t>AEP East Total</t>
  </si>
  <si>
    <t>Direct Charged PBOP Expense per Actuarial Report</t>
  </si>
  <si>
    <t>Additional PBOP Ledger Entries (from Company Records)</t>
  </si>
  <si>
    <t>Medicare Subsidy</t>
  </si>
  <si>
    <t>PBOP Expenses From AEP Service Corporation (from Company Records)</t>
  </si>
  <si>
    <t xml:space="preserve">For the rate year 2017 and adjusted every four years thereafter, using the annual actuarial report produced for that year, filed as part of the informational filing, Worksheet O will be used to adjust PBOP costs for the next four years (i.e. 2017, 2018, 2019, 2020).  If the annual actuarial report projects PBOP costs during the next four years, taken together with the then current cumulative PBOP cost/allowance position, will, absent a change in the PBOP allowance, cause the AEP Companies to over or under collect their cumulative PBOP costs by more than 20% of the projected next four year’s total cost, the PBOP allowance shall be adjusted. Worksheet O will be used in the process of updating the PBOP allowance determining (a)  the level of cumulative over or under collections during the period since the PBOP allowance was last set, including carrying costs based on the weighted average cost of capital (“WACC”) each year from the actual formula rate; (b) the cumulative net present value of projected PBOP costs during the next four years, as estimated by the then current actuarial report, assuming a discount rate equal to the actual formula rate weighted average cost of capital for the prior calendar year; and (c) the cumulative net present value of continued collections over the next four years based on the then effective PBOP allowance, assuming a discount rate equal to the prior year WACC.  If the absolute value of (a)+(b)-(c) exceeds 20% of (b), then the PBOP allowance used in the formula rate calculation shall be changed to the value that will cause the projected result (a)+(b)-(c) to equal zero.  If the projected over or under collection during the next four years will be less than 20% of (b), then the PBOP allowacance will continue in effect for the next four years at the then effective rate.  If it is determined through this procedure AEP Companies will over-recover or under-recover actual PBOP expenses by more than 20% over the subsequent four-year period, AEP shall make a filing under FPA Section 205 to change the PBOP expense stated in the formula rate shown on Worksheet O.  No other changes to the formula rate may be included in that filing. </t>
  </si>
  <si>
    <t>Worksheet O - Calculation of Postemployment Benefits Other than Pensions Expenses Allocable to Transmission Service</t>
  </si>
  <si>
    <t>Detail of Actual PBOP Expenses to be Removed in Cost of Service</t>
  </si>
  <si>
    <t>Acct. 9260039 PBOP Expense</t>
  </si>
  <si>
    <t xml:space="preserve">          Acct. 9260057 PBOP Medicare Subsidy</t>
  </si>
  <si>
    <t xml:space="preserve">               PBOP Expense Billed From AEPSC</t>
  </si>
  <si>
    <t xml:space="preserve">         Settlement Approved PBOP Recovery</t>
  </si>
  <si>
    <t>See note K above.  Per the settlement in Docket ER08-1329, recoverable PBOP expense is based on an annual total for the operating companies that is ratioed to them based on the total of actual annual PBOP costs, including charges from the AEP Service Corportation. The calculation of the recoverable amount for each company is shown on Worksheet O.</t>
  </si>
  <si>
    <t>PBOP Worksheet O, Col. C  (Note M)</t>
  </si>
  <si>
    <t>These deductions on lines 81 through 83 are to remove from the cost of service the expenses recorded by the company for Postemployment Benefits Other than Pensions (PBOP).  See Note M below for the recoverable PBOP expense.</t>
  </si>
  <si>
    <t xml:space="preserve">Average of the 13 Monthly Balances </t>
  </si>
  <si>
    <t>Average of the 13 Monthly Balances</t>
  </si>
  <si>
    <t>Note 2: The transmission functional amounts for any Real Estate and Property taxes listed on pages 263 of the FERC Form 1 will be allocated using the transmission functional allocator calculated for each state in Worksheet H of the applicable year that the taxes were assesed.  Real and Personal Property - Other Jurisdictions will be allocated using the Gross Plant Allocator from the applicable year.</t>
  </si>
  <si>
    <t>The cost of service will make a rate base adjustment to remove unfunded reserves associated with contingent liabilites recorded to Accounts 228.1-228.4 from rate base.</t>
  </si>
  <si>
    <t>Transmission Plant Balances in this study are projected or actual average of 13-month balances.</t>
  </si>
  <si>
    <t>Appalachian Power Company</t>
  </si>
  <si>
    <t>Accum Prv I/D Worker's Com</t>
  </si>
  <si>
    <t>1650001</t>
  </si>
  <si>
    <t>Prepaid Insurance</t>
  </si>
  <si>
    <t>Prepaid Taxes</t>
  </si>
  <si>
    <t>1650004</t>
  </si>
  <si>
    <t>Prepaid Interest</t>
  </si>
  <si>
    <t>1650006</t>
  </si>
  <si>
    <t>Other Prepayments</t>
  </si>
  <si>
    <t>1650009</t>
  </si>
  <si>
    <t>Prepaid Carry Cost-Factored AR</t>
  </si>
  <si>
    <t>1650010</t>
  </si>
  <si>
    <t>Prepaid Use Taxes</t>
  </si>
  <si>
    <t>1650014</t>
  </si>
  <si>
    <t>FAS 158 Qual Contra Asset</t>
  </si>
  <si>
    <t>1650016</t>
  </si>
  <si>
    <t>FAS 112 ASSETS</t>
  </si>
  <si>
    <t>1650021</t>
  </si>
  <si>
    <t>Prepaid Insurance - EIS</t>
  </si>
  <si>
    <t>1650023</t>
  </si>
  <si>
    <t>Prepaid Lease</t>
  </si>
  <si>
    <t>1650035</t>
  </si>
  <si>
    <t>PRW Without MED-D Benefits</t>
  </si>
  <si>
    <t>1650036</t>
  </si>
  <si>
    <t>PRW for Med-D Benefits</t>
  </si>
  <si>
    <t>1650037</t>
  </si>
  <si>
    <t>FAS158 Contra-PRW Exclud Med-D</t>
  </si>
  <si>
    <t>AR Factoring</t>
  </si>
  <si>
    <t>Prepaid Pension</t>
  </si>
  <si>
    <t>Prepaid Use Taxes Gen</t>
  </si>
  <si>
    <t>Prepaid Insurance EIS</t>
  </si>
  <si>
    <t>Pension Benefits - All functions</t>
  </si>
  <si>
    <t>Virginia T-RAC UnderRecovery</t>
  </si>
  <si>
    <t>9280000</t>
  </si>
  <si>
    <t>Regulatory Commission Exp</t>
  </si>
  <si>
    <t>9301000</t>
  </si>
  <si>
    <t>General Advertising Expenses</t>
  </si>
  <si>
    <t>9301001</t>
  </si>
  <si>
    <t>Newspaper Advertising Space</t>
  </si>
  <si>
    <t>9301002</t>
  </si>
  <si>
    <t>Radio Station Advertising Time</t>
  </si>
  <si>
    <t>9301007</t>
  </si>
  <si>
    <t>Special Adv Space &amp; Prod Exp</t>
  </si>
  <si>
    <t>9301012</t>
  </si>
  <si>
    <t>Public Opinion Surveys</t>
  </si>
  <si>
    <t>9301014</t>
  </si>
  <si>
    <t>Video Communications</t>
  </si>
  <si>
    <t>9301015</t>
  </si>
  <si>
    <t>Other Corporate Comm Exp</t>
  </si>
  <si>
    <t>9302000</t>
  </si>
  <si>
    <t>Misc General Expenses</t>
  </si>
  <si>
    <t>9302003</t>
  </si>
  <si>
    <t>Corporate &amp; Fiscal Expenses</t>
  </si>
  <si>
    <t>9302004</t>
  </si>
  <si>
    <t>Research, Develop&amp;Demonstr Exp</t>
  </si>
  <si>
    <t>9302006</t>
  </si>
  <si>
    <t>9302007</t>
  </si>
  <si>
    <t>Assoc Business Development Exp</t>
  </si>
  <si>
    <t>Tennessee Income Tax Rate</t>
  </si>
  <si>
    <t>West Virginia Net Income Tax Rate</t>
  </si>
  <si>
    <t>Virginia Income Tax Rate</t>
  </si>
  <si>
    <t>Michigan Business Income Tax Rate</t>
  </si>
  <si>
    <t>Illinois Corporation Income Tax Rate</t>
  </si>
  <si>
    <t>VIRGINIA JURISDICTION</t>
  </si>
  <si>
    <t>WEST VA JURISDICTION</t>
  </si>
  <si>
    <t>APCo Worksheet J -  ATRR PROJECTED Calculation for PJM Projects Charged to Benefiting Zones</t>
  </si>
  <si>
    <t>RTEP ID: b0318 (Amos 765/138 kV Transformer)</t>
  </si>
  <si>
    <t>No</t>
  </si>
  <si>
    <t>RTEP ID: b1712.2 (Altavista-Leesville 138kV line)</t>
  </si>
  <si>
    <t>RTEP ID: b2020 (Rebuild Amos-Kanawha River 138 kV corridor)</t>
  </si>
  <si>
    <t>RTEP ID: b2021 (Kanawha River Gen Retirement - Upgrades)</t>
  </si>
  <si>
    <t>RTEP ID: b2017 (Rebuild Sporn-Waterford-Muskingum River 345 kV line)</t>
  </si>
  <si>
    <t>RTEP ID: b1660 (Install a 765/500 kV transformer at Cloverdale)</t>
  </si>
  <si>
    <t>RTEP ID: b1660.1 (Cloverdale: Establish 500 kV station and 500 to 765 kV tie)</t>
  </si>
  <si>
    <t>RTEP ID: b1663.2 (Jacksons Ferry 765 kV breakers, switches, bus work, and relays)</t>
  </si>
  <si>
    <t>RTEP ID: b1875 (138 kV Bradley to McClung upgrades)</t>
  </si>
  <si>
    <t>RTEP ID: b1797.1 (Reconductor portion of Cloverdale-Lexington 500 kV line)</t>
  </si>
  <si>
    <t>RTEP ID: b1712.1 (Altavista-Leesville 138kV line)</t>
  </si>
  <si>
    <t>RTEP ID: b2687.2 (Install a 300 MVAR shunt line reactor Broadford-Jacksons Ferry 765 kV line)</t>
  </si>
  <si>
    <t>RTEP ID: b2687.1 (Install a 450 MVAR SVC Jacksons Ferry 765kv Substation)</t>
  </si>
  <si>
    <t>Cap Limit</t>
  </si>
  <si>
    <t>Capital Structure Percentages</t>
  </si>
  <si>
    <t>Capital Structure Equity Limit (Note Z)</t>
  </si>
  <si>
    <t>Z</t>
  </si>
  <si>
    <t xml:space="preserve">Per the settlement in EL17-13, equity is limited to 55% in of the Company's capital structure.  If the percentage of actual equity exceeds the cap, the excess is included as long term debt in the capital structure.  </t>
  </si>
  <si>
    <t>1650017</t>
  </si>
  <si>
    <t>Prepayment - Coal</t>
  </si>
  <si>
    <t>Prepayed Taxes</t>
  </si>
  <si>
    <t>Prepaid Coal</t>
  </si>
  <si>
    <t>Regulatory Commission Exp-Adm</t>
  </si>
  <si>
    <t>Regulatory Commission Exp-Case</t>
  </si>
  <si>
    <t>Reg Com Exp-FERC Trans Cases</t>
  </si>
  <si>
    <t>9280001</t>
  </si>
  <si>
    <t>9280002</t>
  </si>
  <si>
    <t>9280005</t>
  </si>
  <si>
    <t>RTEP ID: b2230 (replace existing 150 MVAR reactor at Amos 765kV substation)</t>
  </si>
  <si>
    <t>Other prepayments - Gen</t>
  </si>
  <si>
    <t>Prefunded Pension Exp</t>
  </si>
  <si>
    <t>SFAS 158 Offset</t>
  </si>
  <si>
    <t>TX AMORT POLLUTION CONT EQPT</t>
  </si>
  <si>
    <t xml:space="preserve">NON-UTILITY DEFERRED FIT </t>
  </si>
  <si>
    <t>SFAS 109 FLOW-THRU 281.3</t>
  </si>
  <si>
    <t>SFAS 109 EXCESS DFIT 281.4</t>
  </si>
  <si>
    <t>SFAS 109 FLOW-THRU 282.3</t>
  </si>
  <si>
    <t>SFAS 109 EXCESS DFIT 282.4</t>
  </si>
  <si>
    <t>SFAS 109 FLOW-THRU 283.3</t>
  </si>
  <si>
    <t>SFAS 109 EXCESS DFIT 283.4</t>
  </si>
  <si>
    <t>ADIT FED - HEDGE-INTEREST RATE 2830015</t>
  </si>
  <si>
    <t>ADIT FED - HEDGE-FOREIGN EXC 2830016</t>
  </si>
  <si>
    <t>SFAS 133 ADIT FED - SFAS 133 NONAFFIL 2830006</t>
  </si>
  <si>
    <t>SEC ALLOC - ITC - 46F1 - 10%</t>
  </si>
  <si>
    <t xml:space="preserve">HYDRO CREDIT - ITC - 46F1 </t>
  </si>
  <si>
    <t>SFAS 109 FLOW-THRU 190.3</t>
  </si>
  <si>
    <t>ADIT FED - NON-UMWA PRW OCI 1900011</t>
  </si>
  <si>
    <t>ADIT FED - HEDGE-INTEREST RATE 1900015</t>
  </si>
  <si>
    <t>ADIT FED - HEDGE-FOREIGN EXC 1900016</t>
  </si>
  <si>
    <t>NON-UTILITY DEFERRED SIT  1902002</t>
  </si>
  <si>
    <t>Total Other Jurisdictions:  (Line 6 * Net Plant Allocator)</t>
  </si>
  <si>
    <t>TENNESSEE JURISDICTION</t>
  </si>
  <si>
    <t>Rate Case Amort</t>
  </si>
  <si>
    <t xml:space="preserve"> GENERAL PLANT</t>
  </si>
  <si>
    <t>Transportation Equipment</t>
  </si>
  <si>
    <t>Power Operated Equipment</t>
  </si>
  <si>
    <t>APPALACHAIN POWER COMPANY, INC.</t>
  </si>
  <si>
    <t>Worksheet B-3</t>
  </si>
  <si>
    <t>Excess/ Deficient ADIT Worksheet for Total Company and Functional Balances</t>
  </si>
  <si>
    <t>Debit/(Credit)</t>
  </si>
  <si>
    <t xml:space="preserve">I </t>
  </si>
  <si>
    <t xml:space="preserve">J </t>
  </si>
  <si>
    <t>TOTAL COMPANY BALANCES</t>
  </si>
  <si>
    <t>Balance Sheet Entries</t>
  </si>
  <si>
    <t>Tax Expense Entries</t>
  </si>
  <si>
    <t xml:space="preserve">Line No. </t>
  </si>
  <si>
    <t>Description of Account</t>
  </si>
  <si>
    <t>Protected
Unprotected</t>
  </si>
  <si>
    <t>Tax Rate Change Act</t>
  </si>
  <si>
    <t>Amotization Period</t>
  </si>
  <si>
    <t>Balance Sheet Account Reclassifications</t>
  </si>
  <si>
    <t>410/411 Deferred Tax Expense/ (Benefit)</t>
  </si>
  <si>
    <t>Reference</t>
  </si>
  <si>
    <t>Sum of Cols (I) - (O)</t>
  </si>
  <si>
    <t>Deferred Tax Account (NOTE B)</t>
  </si>
  <si>
    <t>1a</t>
  </si>
  <si>
    <r>
      <t>190</t>
    </r>
    <r>
      <rPr>
        <sz val="9"/>
        <color rgb="FFFF0000"/>
        <rFont val="Arial"/>
        <family val="2"/>
      </rPr>
      <t>4</t>
    </r>
    <r>
      <rPr>
        <sz val="9"/>
        <rFont val="Arial"/>
        <family val="2"/>
      </rPr>
      <t>001</t>
    </r>
  </si>
  <si>
    <t xml:space="preserve">ADFIT - FAS 109 Excess </t>
  </si>
  <si>
    <t>TCJA 2017</t>
  </si>
  <si>
    <t>1b</t>
  </si>
  <si>
    <r>
      <t>281</t>
    </r>
    <r>
      <rPr>
        <sz val="9"/>
        <color rgb="FFFF0000"/>
        <rFont val="Arial"/>
        <family val="2"/>
      </rPr>
      <t>1</t>
    </r>
    <r>
      <rPr>
        <sz val="9"/>
        <rFont val="Arial"/>
        <family val="2"/>
      </rPr>
      <t>001</t>
    </r>
  </si>
  <si>
    <t>ADFIT - Accel Amortization Property</t>
  </si>
  <si>
    <t>Protected</t>
  </si>
  <si>
    <t>1c</t>
  </si>
  <si>
    <r>
      <t>281</t>
    </r>
    <r>
      <rPr>
        <sz val="9"/>
        <color rgb="FFFF0000"/>
        <rFont val="Arial"/>
        <family val="2"/>
      </rPr>
      <t>4</t>
    </r>
    <r>
      <rPr>
        <sz val="9"/>
        <rFont val="Arial"/>
        <family val="2"/>
      </rPr>
      <t>001</t>
    </r>
  </si>
  <si>
    <t>ADFIT - Accel Amort FAS 109 Excess</t>
  </si>
  <si>
    <t>1d</t>
  </si>
  <si>
    <r>
      <t>282</t>
    </r>
    <r>
      <rPr>
        <sz val="9"/>
        <color rgb="FFFF0000"/>
        <rFont val="Arial"/>
        <family val="2"/>
      </rPr>
      <t>1</t>
    </r>
    <r>
      <rPr>
        <sz val="9"/>
        <rFont val="Arial"/>
        <family val="2"/>
      </rPr>
      <t>001</t>
    </r>
  </si>
  <si>
    <t>ADFIT - Utility Property</t>
  </si>
  <si>
    <t>ARAM</t>
  </si>
  <si>
    <t>Life of Asset</t>
  </si>
  <si>
    <t>1e</t>
  </si>
  <si>
    <t>Unprotected</t>
  </si>
  <si>
    <t>10 Years</t>
  </si>
  <si>
    <t>1/2018 - 12/2027</t>
  </si>
  <si>
    <t>1f</t>
  </si>
  <si>
    <r>
      <t>282</t>
    </r>
    <r>
      <rPr>
        <sz val="9"/>
        <color rgb="FFFF0000"/>
        <rFont val="Arial"/>
        <family val="2"/>
      </rPr>
      <t>4</t>
    </r>
    <r>
      <rPr>
        <sz val="9"/>
        <rFont val="Arial"/>
        <family val="2"/>
      </rPr>
      <t>001</t>
    </r>
  </si>
  <si>
    <t>ADFIT - Utility Property FAS 109 Excess</t>
  </si>
  <si>
    <t>1g</t>
  </si>
  <si>
    <t>1h</t>
  </si>
  <si>
    <r>
      <t>283</t>
    </r>
    <r>
      <rPr>
        <sz val="9"/>
        <color rgb="FFFF0000"/>
        <rFont val="Arial"/>
        <family val="2"/>
      </rPr>
      <t>1</t>
    </r>
    <r>
      <rPr>
        <sz val="9"/>
        <rFont val="Arial"/>
        <family val="2"/>
      </rPr>
      <t>001</t>
    </r>
  </si>
  <si>
    <t>ADFIT - Other Utility Deferrals</t>
  </si>
  <si>
    <t>1i</t>
  </si>
  <si>
    <r>
      <t>283</t>
    </r>
    <r>
      <rPr>
        <sz val="9"/>
        <color rgb="FFFF0000"/>
        <rFont val="Arial"/>
        <family val="2"/>
      </rPr>
      <t>4</t>
    </r>
    <r>
      <rPr>
        <sz val="9"/>
        <rFont val="Arial"/>
        <family val="2"/>
      </rPr>
      <t>001</t>
    </r>
  </si>
  <si>
    <t>ADFIT - Other FAS 109 Excess</t>
  </si>
  <si>
    <t>1j</t>
  </si>
  <si>
    <t>Regulatory Deferral Accounts</t>
  </si>
  <si>
    <t>2a</t>
  </si>
  <si>
    <t xml:space="preserve">Regulatory Asset  </t>
  </si>
  <si>
    <t xml:space="preserve"> Company Records</t>
  </si>
  <si>
    <t>2b</t>
  </si>
  <si>
    <t>Regulatory Liability</t>
  </si>
  <si>
    <t>2c</t>
  </si>
  <si>
    <t>TRANSMISSION FUNCTION BALANCES</t>
  </si>
  <si>
    <t>4a</t>
  </si>
  <si>
    <t>4b</t>
  </si>
  <si>
    <t>4c</t>
  </si>
  <si>
    <t>4d</t>
  </si>
  <si>
    <t>4e</t>
  </si>
  <si>
    <t>4f</t>
  </si>
  <si>
    <t>4g</t>
  </si>
  <si>
    <t>4h</t>
  </si>
  <si>
    <t>5c</t>
  </si>
  <si>
    <t>NOTE A</t>
  </si>
  <si>
    <t>NOTE B:</t>
  </si>
  <si>
    <t>The amount of the FIT gross up to recorded on regulatory assets and liabilities will be reported on the first line of ADIT accounts provided for each specific change in tax rates.</t>
  </si>
  <si>
    <t>NOTE C:</t>
  </si>
  <si>
    <t>NOTE D:</t>
  </si>
  <si>
    <t>NOTE E:</t>
  </si>
  <si>
    <t>NOTE E</t>
  </si>
  <si>
    <t>Total For Accounting Entires (Sum of Lines 1a through 2b)</t>
  </si>
  <si>
    <t>Total For Accounting Entires (Sum of Lines 4a through 5b)</t>
  </si>
  <si>
    <t>GENERAL NOTE:  ADIT Tax balances provided in the formula presented in Attachment H-14B are maintained on both a total company and transmission functional basis. Because both sets of numbers are presented in the formual, the information for excess and deficient ADIT is also presented for both total company and the transmission function on this worksheet.  Account 281 only applies to the generation function, so is not presented in the transmission functional summary.</t>
  </si>
  <si>
    <t>NOTE F:</t>
  </si>
  <si>
    <t>Prepayed Taxes - Dist</t>
  </si>
  <si>
    <t>RTEP ID: b2423 Install a 300 MVAR shunt reactor at AEP's Wyoming 765 kV station.</t>
  </si>
  <si>
    <t>CR Audit</t>
  </si>
  <si>
    <t>WS B - 1, Col B/C, ADIT Item 2.06</t>
  </si>
  <si>
    <t>2018 Forecasted Revenue Requirement For Year 2018</t>
  </si>
  <si>
    <t>An over or under collection will be recovered prorata over 2018, held for 2019 and returned prorate over 2020</t>
  </si>
  <si>
    <t>9280003</t>
  </si>
  <si>
    <t>WS B - 1 Cols M+N+O , ADIT Item 5.47</t>
  </si>
  <si>
    <t>WS B-1, Col N, ADIT 5.47</t>
  </si>
  <si>
    <t>MICHIGAN AND FERC</t>
  </si>
  <si>
    <t>$0 at Dec 2018 - use old rate</t>
  </si>
  <si>
    <t xml:space="preserve"> (2)  Approved by PSC of WV Order dated 2/27/2019 in</t>
  </si>
  <si>
    <t xml:space="preserve">        Case No. 18-0645-E-D effective 03/06/2019.</t>
  </si>
  <si>
    <t>Approved by FERC March 2, 1990 in Docket ER90-132</t>
  </si>
  <si>
    <t>Approved by FERC March 2, 1990 in Docket ER90-133</t>
  </si>
  <si>
    <t>Distribution Plant (recorded by state) is assigned only to</t>
  </si>
  <si>
    <t>jurisdictions within each state.</t>
  </si>
  <si>
    <t>53c</t>
  </si>
  <si>
    <t>Accm Prv I/D - Asbestos - Curr</t>
  </si>
  <si>
    <t>Accm Prv I/D - Asbestos</t>
  </si>
  <si>
    <t>2282011</t>
  </si>
  <si>
    <t>2282012</t>
  </si>
  <si>
    <t>(1) As approved in Indiana Cause No. 45235 effective March 11, 2020.</t>
  </si>
  <si>
    <t>(2) As approved in Michigan Case No. U-20359 effective February 1, 2020.</t>
  </si>
  <si>
    <t>(3) FERC wholesale formula rate agreements specify that the depreciation rates in the formula rates change upon approval of MPSC rates in the Michigan jurisdiction.</t>
  </si>
  <si>
    <t>EFFECTIVE AS OF MARCH 11, 2020</t>
  </si>
  <si>
    <t>Assoc Bus Dev - Materials Sold</t>
  </si>
  <si>
    <t>Accum Deferred SIT - Excess</t>
  </si>
  <si>
    <t>Accum Deferred SIT-TBBS</t>
  </si>
  <si>
    <t>SFAS 109 EXCESS DFIT 190.4001</t>
  </si>
  <si>
    <t>Accum Deferred SIT - Excess 190.4002</t>
  </si>
  <si>
    <t>Accum Deferred FIT-TBBS 190.6001</t>
  </si>
  <si>
    <t>Accum Deferred SIT-TBBS 190.6002</t>
  </si>
  <si>
    <t>Accum Defd Other FIT-TBBS</t>
  </si>
  <si>
    <t>Accum Defd Property FIT - TBBS 282.6</t>
  </si>
  <si>
    <t>pg. 263, ln. 20 (I)</t>
  </si>
  <si>
    <t>pg. 263, ln. 21 (I)</t>
  </si>
  <si>
    <t>pg. 263, ln. 19 (I)</t>
  </si>
  <si>
    <t xml:space="preserve">Long Term Debt cost rate = long-term interest (ln 145) /average long term debt (ln 154). Preferred Stock cost rate = preferred dividends (ln 146) /preferred outstanding (ln 155). </t>
  </si>
  <si>
    <t xml:space="preserve">Common Stock cost rate (ROE) = 10.35%, per the settlement in FERC Docket No. EL17-13. It includes an additional 50 basis points for PJM RTO membership. </t>
  </si>
  <si>
    <t>The amount of eligible hedging gains or losses included in total interest expense is limited to five basis points of the capital structure. Details and calculations of the weighted average cost of capital are shown on Worksheet M. Eligible Hedging Gains and Losses are computed on Worksheet M. The unamortized balance of eligible hedge gains/losses and related ADIT amounts shall not flow through the formula rate.</t>
  </si>
  <si>
    <t>AEP EAST OPERATING COMPANIES</t>
  </si>
  <si>
    <t>Docket ER20-1886-000</t>
  </si>
  <si>
    <t>APPALACHIAN POWER COMPANY</t>
  </si>
  <si>
    <t>Compliance Filing</t>
  </si>
  <si>
    <t>ATTACHMENT H-14B</t>
  </si>
  <si>
    <t>Attachment 4</t>
  </si>
  <si>
    <t>WORKSHEET-B-3-A</t>
  </si>
  <si>
    <t>Page 1 of 6</t>
  </si>
  <si>
    <t>TAX REMEASUREMENT WORKSHEET</t>
  </si>
  <si>
    <t>TAX CUT and JOBS ACT of  2017</t>
  </si>
  <si>
    <t>F=E/C</t>
  </si>
  <si>
    <t>H = E +G</t>
  </si>
  <si>
    <t>J = C - H</t>
  </si>
  <si>
    <t>Line No.</t>
  </si>
  <si>
    <t xml:space="preserve">Utility Account </t>
  </si>
  <si>
    <t>12/31/17 Pre-remeasurement Balance</t>
  </si>
  <si>
    <t>Remeasurement Amount (NOTE 1)</t>
  </si>
  <si>
    <t>Remeasurement Percentage (NOTE 2)</t>
  </si>
  <si>
    <t>Adjustments (NOTE 3)</t>
  </si>
  <si>
    <t>Total Excess/Deficiency by Account (NOTE 4)</t>
  </si>
  <si>
    <t>Protected / Unprotected</t>
  </si>
  <si>
    <t>ADIT Deferral After Remesasurement</t>
  </si>
  <si>
    <t>TOTAL COMPANY</t>
  </si>
  <si>
    <t>190 - Utility</t>
  </si>
  <si>
    <t>2018 FF1 P. 234 Col (b) Line 8</t>
  </si>
  <si>
    <t>Less: Deferred State Taxes</t>
  </si>
  <si>
    <t>1901001</t>
  </si>
  <si>
    <t>2811001</t>
  </si>
  <si>
    <t>2018 FF1 P. 272 Col (b) Line 8</t>
  </si>
  <si>
    <t>2821001</t>
  </si>
  <si>
    <t>2018 FF1 P. 274 Col (b) Line 5</t>
  </si>
  <si>
    <t xml:space="preserve">Protected </t>
  </si>
  <si>
    <t xml:space="preserve">Unprotected </t>
  </si>
  <si>
    <t>283 - Utility</t>
  </si>
  <si>
    <t>2018 FF1 P. 276 Col (b) Line 9</t>
  </si>
  <si>
    <t>Less: Accrued Deferred State Tax</t>
  </si>
  <si>
    <t>2831001</t>
  </si>
  <si>
    <t>(Sum of Lns. 3+4+5+8)</t>
  </si>
  <si>
    <t>TRANSMISSION FUNCTION</t>
  </si>
  <si>
    <t>(Sum of Lns. 10+11+12)</t>
  </si>
  <si>
    <t xml:space="preserve">GENERAL NOTE:  This worksheet will summarize remeasurement adjustments in ADIT Accounts for both the total company and transmission function required by changes in either Federal or State Income Tax Rates.  A new sheet will be included in the working formula for each change to tax rates that may occur while this formula rate is in effect. New pages will be designated by incrementing the suffix letter in the workpaper name (i.e. B-3-A, B-3-B, etc.) </t>
  </si>
  <si>
    <t>NOTE 1:</t>
  </si>
  <si>
    <t xml:space="preserve">Amount of remeasurement in Column E will be based on supporting workpapers showing the remeasurement of individual ADIT items in each tax deferral account, and will indicate whether each remeasured ADIT item will be treated as protected or unprotected.  The resulting totals will be shown on this worksheet for each ADIT account. </t>
  </si>
  <si>
    <t>NOTE 2:</t>
  </si>
  <si>
    <t xml:space="preserve">Remeasurement calculation may not equal 40% of the December 31, 2017  deferral balance because of specific ADIT items that are not subject to remeasurement. </t>
  </si>
  <si>
    <t>NOTE 3:</t>
  </si>
  <si>
    <t>As part of the remeasurement calculation, the remeasurement ADIT balances in account 1901001 were reclassed to account 2831001 to group nonproperty utility deferrals together as one timing difference.</t>
  </si>
  <si>
    <t>NOTE 4</t>
  </si>
  <si>
    <t>Ties to each Operating Companies' Workpaper B-3, Column F, showing the intial remeasurement value determined as a result of the Tax Cut and Jobs Act of 2017.</t>
  </si>
  <si>
    <t>Utility Account (NOTE A)</t>
  </si>
  <si>
    <t xml:space="preserve">Excess / Deficient Balance at Remeasurement </t>
  </si>
  <si>
    <t>Amortization Methodology (NOTE C)</t>
  </si>
  <si>
    <t>Excess / Deficient ADIT Regulatory  Offset</t>
  </si>
  <si>
    <t>Excess / Deficient ADIT in Utility Deferrals</t>
  </si>
  <si>
    <t xml:space="preserve">410/411 Excess / Deficient Amortization NOTE C/NOTE F
</t>
  </si>
  <si>
    <t>Excess/ Deficient ADIT Regulatory  Offset</t>
  </si>
  <si>
    <t>Excess /  Deficient ADIT in Utility Deferrals</t>
  </si>
  <si>
    <t xml:space="preserve">In order to ensure rate base neutrality, AEP utilizes the fourth digit of its seven digit FERC Tax subaccount numbers to identify balances associated with utility operations vs regulatory reporting requirements.  A "1" in the fourth digit of a FERC deferred tax account refers to the utility operations balance or entry.  Accounts with the "1" designation will be included in the determination of rate base to be recovered in the formula rate.   A "4" in the four place of the account number indicates accounts used to track regulatory accounting requirements.  The excess ADIT amounts recorded in accounts with the  "4" designation will be contra to the "1" balance, which will ensure that in the formula rate the excess amount will be part of rate base, but at the total FERC account level the tax asset or liability will be recorded at the current Federal FIT rate.  The amounts recorded in 4 will be offset on a net basis in the regulatory asset or liability account established for this purpose. </t>
  </si>
  <si>
    <t xml:space="preserve">The ten year amortization period for unprotected excess ADIT is consistent with the period agreed upon by the Company and its customers and approved for the Company's PJM formula rates. Appalachian Power Company, et al, 166 FERC ¶ 61,135 (2019). </t>
  </si>
  <si>
    <t>In the event of future tax rate changes, additional lines will be inserted as required to reflect any new ADIT or regulatory deferral accounts that may be necessary to track that tax rate change.</t>
  </si>
  <si>
    <t>The amount of excess amortization entries shown in lines 1a through 1_  are shown as a debit or credit to the ADIT account from which it is being amortized.  The total in line # is the offset as charged to the 410/411 account. This total amount of amortization is then reported in line 24a of the TCOS.</t>
  </si>
  <si>
    <t xml:space="preserve">Deficient remeasurement amounts will be recorded in 410.1 as a debit (expense) to cost of service,, excess remeasurement amounts will be recorded in 411.1 as credit to cost of service. </t>
  </si>
  <si>
    <t>NOTE D</t>
  </si>
  <si>
    <t>WS B - 2 Col B/C, ADIT item 2.94</t>
  </si>
  <si>
    <t>WS B - 1 Col B/C, ADIT Item 5.52</t>
  </si>
  <si>
    <t>WS B - 1 Col C, Items 10.01</t>
  </si>
  <si>
    <t>WS B - 1 Col C/D, Item 10.06</t>
  </si>
  <si>
    <t>WS B-1,  Col N, item 10.01</t>
  </si>
  <si>
    <r>
      <t>283</t>
    </r>
    <r>
      <rPr>
        <sz val="9"/>
        <color rgb="FFFF0000"/>
        <rFont val="Arial"/>
        <family val="2"/>
      </rPr>
      <t>4</t>
    </r>
    <r>
      <rPr>
        <sz val="9"/>
        <rFont val="Arial"/>
        <family val="2"/>
      </rPr>
      <t>002</t>
    </r>
  </si>
  <si>
    <t>ADSIT - Other FAS 109 Excess</t>
  </si>
  <si>
    <r>
      <t>283</t>
    </r>
    <r>
      <rPr>
        <sz val="9"/>
        <color rgb="FFFF0000"/>
        <rFont val="Arial"/>
        <family val="2"/>
      </rPr>
      <t>1</t>
    </r>
    <r>
      <rPr>
        <sz val="9"/>
        <rFont val="Arial"/>
        <family val="2"/>
      </rPr>
      <t>002</t>
    </r>
  </si>
  <si>
    <t xml:space="preserve">ADSIT - Other </t>
  </si>
  <si>
    <t>WVHB2026</t>
  </si>
  <si>
    <r>
      <t>190</t>
    </r>
    <r>
      <rPr>
        <sz val="9"/>
        <color rgb="FFFF0000"/>
        <rFont val="Arial"/>
        <family val="2"/>
      </rPr>
      <t>4</t>
    </r>
    <r>
      <rPr>
        <sz val="9"/>
        <rFont val="Arial"/>
        <family val="2"/>
      </rPr>
      <t>002</t>
    </r>
  </si>
  <si>
    <t>ADSIT - FAS 109 Excess</t>
  </si>
  <si>
    <t>FBOS</t>
  </si>
  <si>
    <t xml:space="preserve">ADSIT - FAS 109 Excess </t>
  </si>
  <si>
    <t>Regulatory Liability - State Excess ADFIT</t>
  </si>
  <si>
    <t>1k</t>
  </si>
  <si>
    <t>4i</t>
  </si>
  <si>
    <t>4j</t>
  </si>
  <si>
    <t>4k</t>
  </si>
  <si>
    <t>4l</t>
  </si>
  <si>
    <t>2d</t>
  </si>
  <si>
    <t>5d</t>
  </si>
  <si>
    <t>1l</t>
  </si>
  <si>
    <t>1m</t>
  </si>
  <si>
    <t>1n</t>
  </si>
  <si>
    <t>WORKSHEET-B-3- B</t>
  </si>
  <si>
    <t xml:space="preserve">WV House Bill 2026 - Revision of the WV Tax Apportionment Methodolgy from three Factor to One Factor </t>
  </si>
  <si>
    <t>2021 Pre-remeasurement Balance</t>
  </si>
  <si>
    <t>190/282/283</t>
  </si>
  <si>
    <t>Total Fed Cumulative ADIT</t>
  </si>
  <si>
    <t>New Apportionment Factor</t>
  </si>
  <si>
    <t>WV State Tax Rate</t>
  </si>
  <si>
    <t>WV SDIT Single Factor Apportionment (NEW)</t>
  </si>
  <si>
    <t>Prior Apportionment Factor</t>
  </si>
  <si>
    <t>WV SDIT  Three Factor Apportionment Method (PRIOR)</t>
  </si>
  <si>
    <t>Change in Methods (Ln 4 -  Ln 9)</t>
  </si>
  <si>
    <t>Federal Offset (@ 21%)</t>
  </si>
  <si>
    <t>Ln 9</t>
  </si>
  <si>
    <t>Change in Methods (Ln 19 -  Ln 24)</t>
  </si>
  <si>
    <t>Ln 24</t>
  </si>
  <si>
    <t xml:space="preserve">Remeasurement calculation may not equal 0% of the December 31, 2021  deferral balance because of specific ADIT items that are not subject to remeasurement. </t>
  </si>
  <si>
    <t>Not Applicable</t>
  </si>
  <si>
    <t>Ties to each Operating Companies' Workpaper B-3, Column F, showing the intial remeasurement value determined as a result of the WV HB 2026</t>
  </si>
  <si>
    <t>165000220</t>
  </si>
  <si>
    <t>165000221</t>
  </si>
  <si>
    <t>165000222</t>
  </si>
  <si>
    <t>State Publ Serv CommissionFees</t>
  </si>
  <si>
    <t>9301008</t>
  </si>
  <si>
    <t>Direct Mail and Handouts</t>
  </si>
  <si>
    <t>North Carolina Income Tax Rate</t>
  </si>
  <si>
    <t>Kentucky Income Tax Rate</t>
  </si>
  <si>
    <t>pg. 263, ln. 50 (I)</t>
  </si>
  <si>
    <t>LT Coal Prepayment</t>
  </si>
  <si>
    <t>Coal Prepayment</t>
  </si>
  <si>
    <t>1650041</t>
  </si>
  <si>
    <t>Prepaid Regulatory Fees</t>
  </si>
  <si>
    <t>1650044</t>
  </si>
  <si>
    <t>Prepayment-Deferred Coal</t>
  </si>
  <si>
    <t>Reg Fees related to Dist.</t>
  </si>
  <si>
    <t>Prepaid Deferred Coal</t>
  </si>
  <si>
    <t>NOL ADJUSTMENT</t>
  </si>
  <si>
    <t>NOL CONTRA</t>
  </si>
  <si>
    <t>pg. 263, ln. 22 (I)</t>
  </si>
  <si>
    <t>pg. 263, ln. 17 (I)</t>
  </si>
  <si>
    <t>pg. 263, ln. 18 (I)</t>
  </si>
  <si>
    <t>pg. 263, ln. 16 (I)</t>
  </si>
  <si>
    <t xml:space="preserve">State Unemployment Tax </t>
  </si>
  <si>
    <t>pg. 263, ln. 53 (I)</t>
  </si>
  <si>
    <t>Federal Insurance Tax</t>
  </si>
  <si>
    <t>EFFECTIVE AS OF 1/1/2023</t>
  </si>
  <si>
    <t xml:space="preserve">  (1) As stated in the order in VA Case No. in Case No. PUR-2020-00015, depreciation rates should be implemented at the time depreciation study is preformed.  This is the final update made to depreciation rates as a result of the order issued in PUR-2023-00002.</t>
  </si>
  <si>
    <t xml:space="preserve">Transmission allocation factors are changed annually in January based on </t>
  </si>
  <si>
    <t>September factors as per the PJM tariff approved in FERC Docket ER08-1329</t>
  </si>
  <si>
    <t xml:space="preserve">        Depreciation rates were made effective January 1, 2023.</t>
  </si>
  <si>
    <t xml:space="preserve">(7)  </t>
  </si>
  <si>
    <t>Initial depreciation rates for the jurisdictional shares of CCR/ELG investment at Amos and Mountaineer approved in VA Case No. PUR-2020-00015 and WV Case No. 20-1040-E-CN.</t>
  </si>
  <si>
    <t>EFFECTIVE AS OF 12/1/2021</t>
  </si>
  <si>
    <t xml:space="preserve">Note 1:   No change in Transmission plant depreciation rates which were established in </t>
  </si>
  <si>
    <t>OPCo and CSP's FERC Commission Order in Docket No EC11-37-000.</t>
  </si>
  <si>
    <t>EFFECTIVE AS OF 3/6/2019</t>
  </si>
  <si>
    <t>Note 1:  Approved by PSC of WV Order dated 2/27/2019 in Case No. 18-0645-E-D effective 03/06/2019.</t>
  </si>
  <si>
    <t>Acc Dfd SIT FAS 109 Flow Thru 1903002</t>
  </si>
  <si>
    <t>Apportionment Factor - Note 1</t>
  </si>
  <si>
    <t>3091 - TAX CREDIT C/F W DEF TAX</t>
  </si>
  <si>
    <t>3501 - TAX CREDIT C/F - DEF TAX ASSET(OLD)</t>
  </si>
  <si>
    <t>3515 - DSIT ENTRY-STATE MIN TAX CARRYFWD</t>
  </si>
  <si>
    <t>3516 - DSIT ENTRY-STATE MIN TAX VALUATION ALLOW</t>
  </si>
  <si>
    <t>3517 - DSIT - AMOS UNIT 3 IMPAIRMENT</t>
  </si>
  <si>
    <t>3518 - DSIT ENTRY-VA VALUATION ALLOWANCE</t>
  </si>
  <si>
    <t>3519 - DSIT ENTRY - NORMALIZED</t>
  </si>
  <si>
    <t>3520 - DSIT-AMOS U3/MITCHELL PLANT TRSF</t>
  </si>
  <si>
    <t>3522 - DSIT-AMOS U3/MITCHELL PLANT TRSF - VA</t>
  </si>
  <si>
    <t>4002 - WV POLLUTION CONTROL ADJUSTMENT</t>
  </si>
  <si>
    <t>6025 - PT Repairs UOP - WV NORM</t>
  </si>
  <si>
    <t>7002 - CUST ADV for Construction</t>
  </si>
  <si>
    <t>7021 - PROVS POSS REV REFDS-A/L</t>
  </si>
  <si>
    <t>7023 - PROV FOR RATE REFUND-EXCESS PROTECTED</t>
  </si>
  <si>
    <t>7026 - MTM BK GAIN-A/L-TAX DEFL</t>
  </si>
  <si>
    <t>7029 - PROV WORKER'S COMP</t>
  </si>
  <si>
    <t>7034 - SUPPLEMENTAL EXECUTIVE RETIREMENT PLAN</t>
  </si>
  <si>
    <t>7035 - ACCRD SUP EXEC RETIR PLAN COSTS-SFAS 158</t>
  </si>
  <si>
    <t>7036 - ACCRD BK SUP. SAVINGS PLAN EXP</t>
  </si>
  <si>
    <t>7037 - ACCRUED PSI PLAN EXP</t>
  </si>
  <si>
    <t>7040 - BK PROV UNCOLL ACCTS - ST</t>
  </si>
  <si>
    <t>7048 - ACCRD COMPANYWIDE INCENTV PLAN</t>
  </si>
  <si>
    <t>7051 - ACCRD ENVIRONMENTAL LIAB-CURRENT</t>
  </si>
  <si>
    <t>7052 - ACCRUED BOOK VACATION PAY</t>
  </si>
  <si>
    <t>7054 - BOOK LEASES DEFERRED</t>
  </si>
  <si>
    <t>7055 - (ICDP)-INCENTIVE COMP DEFERRAL PLAN</t>
  </si>
  <si>
    <t>7059 - BK ACCRL- COOK CT RENT HOLIDAY</t>
  </si>
  <si>
    <t>7061 - ACCRUED BK SEVERANCE BENEFITS</t>
  </si>
  <si>
    <t>7065 - ACCRUED INTEREST-LONG-TERM - FIN 48</t>
  </si>
  <si>
    <t>7071 - DEFD EQUITY CARRYING CHRGS-ENVIRON COMP COSTS</t>
  </si>
  <si>
    <t>7078 - FEDERAL MITIGATION PROGRAMS</t>
  </si>
  <si>
    <t>7079 - STATE MITIGATION PROGRAMS</t>
  </si>
  <si>
    <t>7083 - Litigation Accrual</t>
  </si>
  <si>
    <t>7097 - FICA - NON-CUURENT</t>
  </si>
  <si>
    <t>7100 - DEFD REV - SAN ANGELO SETTLEMENT</t>
  </si>
  <si>
    <t>7104 - ADVANCE RENTAL INC (CUR MO)</t>
  </si>
  <si>
    <t>7107 - DEFERRED BOOK RENTS</t>
  </si>
  <si>
    <t>7110 - REG LIAB-UNREAL MTM GAIN-DEFL</t>
  </si>
  <si>
    <t>7225 - SECURITIZATION DEFD EQUITY INCOME - LONG-TERM</t>
  </si>
  <si>
    <t>7526 - Prepaid Regulatory Fees</t>
  </si>
  <si>
    <t>7527 - Accrued Regulatory Fees</t>
  </si>
  <si>
    <t>7575 - ACCRD SFAS 106 PST RETIRE EXP</t>
  </si>
  <si>
    <t>7577 - ACCRD OPEB COSTS - SFAS 158</t>
  </si>
  <si>
    <t>7580 - ACCRD SFAS 112 PST EMPLOY BEN</t>
  </si>
  <si>
    <t>7581 - ACCRD BOOK ARO EXPENSE - SFAS 143</t>
  </si>
  <si>
    <t>7582 - ACCRD BK ARO EXP - MTNR CARBON CAPTURE</t>
  </si>
  <si>
    <t>7584 - BOOK OPERATING LEASE - LIAB</t>
  </si>
  <si>
    <t>7589 - ACCRD SIT TX RESERVE-LNG-TERM-FIN 48</t>
  </si>
  <si>
    <t>8013 - MARK &amp; SPREAD-DEFL-190-A/L</t>
  </si>
  <si>
    <t>8014 - EMPLOYER SAVINGS PLAN MATCH</t>
  </si>
  <si>
    <t>8016 - STOCK BASED COMP-CAREER SHARES</t>
  </si>
  <si>
    <t>8017 - PROV-TRADING CREDIT RISK - A/L</t>
  </si>
  <si>
    <t>8018 - PROV-FAS 157 - A/L</t>
  </si>
  <si>
    <t>8053 - SFAS 106 PST RETIRE EXP - NON-DEDUCT CONT</t>
  </si>
  <si>
    <t>8060 - IRS AUDIT SETTLEMENT</t>
  </si>
  <si>
    <t>8062 - RESTRICTED STOCK PLAN</t>
  </si>
  <si>
    <t>2006 - 282-ACCUM DEFD FEDERAL TBBS ADJ</t>
  </si>
  <si>
    <t>2010 - EXCESS ADFIT 282 - PROTECTED.</t>
  </si>
  <si>
    <t>2011 - EXCESS ADFIT 282 - UNPROTECTED.</t>
  </si>
  <si>
    <t>6002 - PT AFUDC Debt - NORM</t>
  </si>
  <si>
    <t>6004 - PT ARO - NORM</t>
  </si>
  <si>
    <t>6006 - PT Basis Adj - NORM</t>
  </si>
  <si>
    <t>6007 - PT CIAC - NORM</t>
  </si>
  <si>
    <t>6009 - PT COR - NORM</t>
  </si>
  <si>
    <t>6011 - PT CPI - NORM</t>
  </si>
  <si>
    <t>6014 - PT IDD5 - NORM</t>
  </si>
  <si>
    <t>6018 - PT Method/Life - NORM</t>
  </si>
  <si>
    <t>6019 - PT Plant Acquisition Adj - NORM</t>
  </si>
  <si>
    <t>6021 - PT R&amp;D Adjustment - NORM</t>
  </si>
  <si>
    <t>6022 - PT Relocation Cost - NORM</t>
  </si>
  <si>
    <t>6024 - PT Repairs UOP - NORM</t>
  </si>
  <si>
    <t>6026 - PT Software - NORM</t>
  </si>
  <si>
    <t>6028 - EFB Basis Adj - NORM</t>
  </si>
  <si>
    <t>6503 - 2021 280H 481(a)</t>
  </si>
  <si>
    <t>6523 - 2020 712L 481(a) Software</t>
  </si>
  <si>
    <t>7001 - PJM INTEGRATION-SEC 481(a)-INTANG-DFD LABOR</t>
  </si>
  <si>
    <t>7027 - INSURANCE PREMIUMS ACCRUED</t>
  </si>
  <si>
    <t>7585 - BOOK OPERATING LEASE - ASSET</t>
  </si>
  <si>
    <t>2005 - EXCESS DSIT - UNPROTECTED WV</t>
  </si>
  <si>
    <t>2007 - 283-ACCUM DEFD FEDERAL TBBS ADJ</t>
  </si>
  <si>
    <t>2008 - 283-ACCUM DEFD STATE TBBS ADJ</t>
  </si>
  <si>
    <t>2012 - EXCESS ADFIT 283 - UNPROTECTED.</t>
  </si>
  <si>
    <t>4014 - NOL-STATE C/F-DEF TAX ASSET-L/T - IL</t>
  </si>
  <si>
    <t>4017 - NOL-STATE C/F-DEF TAX ASSET-L/T - KY</t>
  </si>
  <si>
    <t>4035 - NOL-STATE C/F-DEF TAX ASSET-L/T - TN</t>
  </si>
  <si>
    <t>7009 - SW-UNDER RECOVERY FUEL COST</t>
  </si>
  <si>
    <t>7010 - SV-UNDER RECOVERY FUEL COST</t>
  </si>
  <si>
    <t>7014 - CV-UNDER RECOVERY FUEL COST</t>
  </si>
  <si>
    <t>7032 - ACCRUED BK PENSION EXPENSE</t>
  </si>
  <si>
    <t>7033 - ACCRUED BK PENSION COSTS - SFAS 158</t>
  </si>
  <si>
    <t>7069 - REG ASSET-DEFERRED RTO COSTS</t>
  </si>
  <si>
    <t>7070 - DEFD ENVIRON COMP COSTS &amp; CARRYING CHARGES</t>
  </si>
  <si>
    <t>7072 - DEFD SYS RELIABILITY COSTS &amp; CARRYING CHARGES</t>
  </si>
  <si>
    <t>7073 - DEFD EQUITY CARRY CHRGS-RELIABILITY CAPITAL</t>
  </si>
  <si>
    <t>7080 - FERC FORMULA RATES-UNDER-RECOVERY</t>
  </si>
  <si>
    <t>7081 - DEFD EXPS (A/C 186)</t>
  </si>
  <si>
    <t>7084 - O/U RECOVERY SECURITIZATION REVENUE</t>
  </si>
  <si>
    <t>7085 - DEFD STORM DAMAGE</t>
  </si>
  <si>
    <t>7086 - RATE CASE DEFD CHGS</t>
  </si>
  <si>
    <t>7094 - Accrued COVID-19 Incremental Costs - non-TX</t>
  </si>
  <si>
    <t>7099 - BK DEFL-DEMAND SIDE MNGMT EXP</t>
  </si>
  <si>
    <t>7103 - BOOK &gt; TAX BASIS - EMA-A/C 283</t>
  </si>
  <si>
    <t>7112 - TRANSITION REGULATORY ASSETS</t>
  </si>
  <si>
    <t>7114 - REG ASSET-SFAS 143 - ARO</t>
  </si>
  <si>
    <t>7137 - REG ASSET-SFAS 158 - PENSIONS</t>
  </si>
  <si>
    <t>7138 - REG ASSET-SFAS 158 - SERP</t>
  </si>
  <si>
    <t>7139 - REG ASSET-SFAS 158 - OPEB</t>
  </si>
  <si>
    <t>7143 - REG ASSET-MOUNTAINEER CARBON CAPTURE</t>
  </si>
  <si>
    <t>7159 - REG ASSET-UNDERRECOVERY - VIRGINIA T-RAC</t>
  </si>
  <si>
    <t>7165 - REG ASSET-DEFERRED RPS COSTS</t>
  </si>
  <si>
    <t>7192 - REG ASSET-NET CCS FEED STUDY COSTS</t>
  </si>
  <si>
    <t>7207 - REG ASSET-DRESDEN OPERATION COST VA</t>
  </si>
  <si>
    <t>7212 - REG ASSET-DEFERRED VA RPS INCREM COSTS-CURRENT</t>
  </si>
  <si>
    <t>7214 - REG ASSET-DEFD VA DEMAND RESPONSE PROGRAM</t>
  </si>
  <si>
    <t>7215 - REG ASSET-DEFD VA SOFTWARE LICENSING EXPENSE</t>
  </si>
  <si>
    <t>7255 - REG ASSET-WV CONSTR SURCHRG OPER COSTS</t>
  </si>
  <si>
    <t>7278 - REG ASSET-ENERGY EFFICIENCY RECOVERY</t>
  </si>
  <si>
    <t>7279 - REG ASSET-WV VMP (VEGETATION MGMT) COSTS</t>
  </si>
  <si>
    <t>7335 - REG ASSET-WV AIR QUALITY PERMIT FEES</t>
  </si>
  <si>
    <t>7353 - REG ASSET-WV EE/DR-COMPANY FUNDED</t>
  </si>
  <si>
    <t>7423 - REG ASSET-FERC Formula Rates Under Recvr</t>
  </si>
  <si>
    <t>7428 - REG ASSET-Virginia Tri Under Earnings</t>
  </si>
  <si>
    <t>7430 - REG ASSET-GreenHat Settlement</t>
  </si>
  <si>
    <t>7441 - REG ASSET-Deferred Carrying Charge Offset</t>
  </si>
  <si>
    <t>7442 - REG ASSET-Glen Lyn ARO</t>
  </si>
  <si>
    <t>7451 - REG ASSET-VA Major Storm Exp Def</t>
  </si>
  <si>
    <t>7453 - REG ASSET-APCO VA Depr Adj</t>
  </si>
  <si>
    <t>7454 - REG ASSET-APCO VA Depr Adj Contra</t>
  </si>
  <si>
    <t>7467 - REG ASSET-VA Dist Substation Dep Def</t>
  </si>
  <si>
    <t>7468 - REG ASSET-VA Dist Substation CC Def</t>
  </si>
  <si>
    <t>7469 - REG ASSET-VA Dist Substation Eqty CC Def</t>
  </si>
  <si>
    <t>7470 - REG ASSET-WV MRBC Surcharge Under Recov</t>
  </si>
  <si>
    <t>7478 - REG ASSET-WV ECS Under Recovery</t>
  </si>
  <si>
    <t>7485 - REG ASSET-VA PIPP Admin  Cost Deferral</t>
  </si>
  <si>
    <t>7492 - REG ASSET-VCEA Virginia RPS Under-Recov</t>
  </si>
  <si>
    <t>7501 - REG ASSET-Beneficial Electrification Prg</t>
  </si>
  <si>
    <t>7516 - REG ASSET-A.5 RPS-RAC VA Under-Recovery</t>
  </si>
  <si>
    <t>7517 - REG ASSET-A.5 PCAP-RAC VA Under-Recovery</t>
  </si>
  <si>
    <t>7518 - REG ASSET-A.6 RPS RAC VA Und-Recov VCEA</t>
  </si>
  <si>
    <t>7520 - REG ASSET-WV BRSP Rider Under-Recovery</t>
  </si>
  <si>
    <t>7521 - REG ASSET- WV BRSP AFUDC Deferral</t>
  </si>
  <si>
    <t>7524 - REG ASSET-Under-rec Fuel Cost-ENEC-LT</t>
  </si>
  <si>
    <t>7533 - REG ASSET-Prepayment- Deferred Coal</t>
  </si>
  <si>
    <t>7535 - REG ASSET-WV RET Under-Recovery</t>
  </si>
  <si>
    <t>7541 - REG ASSET-SO2 Allowance Inv - Recovery</t>
  </si>
  <si>
    <t>7542 - REG ASSET-VA VMP Under-Recovery</t>
  </si>
  <si>
    <t>7547 - REG ASSET-Deferred Carrying Chg-GlenLyn</t>
  </si>
  <si>
    <t>7548 - REG ASSET-Deferred Equity CC-GlenLyn</t>
  </si>
  <si>
    <t>7555 - REG ASSET-WV BRSP Mason County Deferral</t>
  </si>
  <si>
    <t>7559 - REG ASSET-NBV-ARO-RETIRED PLANTS</t>
  </si>
  <si>
    <t>7560 - REG ASSET-EXTRA LOSS-CLINCH RIVER PLANT</t>
  </si>
  <si>
    <t>7561 - REG ASSET-EXTRA LOSS-GLEN LYN U5 NET PLANT</t>
  </si>
  <si>
    <t>7562 - REG ASSET-EXTRA LOSS-SPORN PLANT</t>
  </si>
  <si>
    <t>7563 - REG ASSET-EXTRA LOSS-KANAWHA RIVER PLANT</t>
  </si>
  <si>
    <t>7564 - REG ASSET-EXTRA LOSS-GLEN LYN U6 NET PLANT</t>
  </si>
  <si>
    <t>7565 - REG ASSET-M&amp;S RETIRING PLANTS</t>
  </si>
  <si>
    <t>7571 - LOSS ON REACQUIRED DEBT</t>
  </si>
  <si>
    <t>7583 - SFAS 106 - MEDICARE SUBSIDY - (PPACA)-REG ASSET</t>
  </si>
  <si>
    <t>7593 - REG ASSET-ACCRUED SFAS 112</t>
  </si>
  <si>
    <t>7597 - PRE CI RENEWABLE COSTS</t>
  </si>
  <si>
    <t>7606 - WV LOSS ON SALE OF LAND DEF</t>
  </si>
  <si>
    <t>8004 - PROPERTY TAX-Book - NORM</t>
  </si>
  <si>
    <t>8010 - DEFD TAX GAIN - APCO WV SEC REG ASSET</t>
  </si>
  <si>
    <t>8012 - MARK &amp; SPREAD-DEFL-283-A/L</t>
  </si>
  <si>
    <t>Accum Defd FIT - Other Prop 282.2</t>
  </si>
  <si>
    <t>Acc Dfrd SIT FAS 109 Flow Thru 283.3002</t>
  </si>
  <si>
    <t>DEFERRED SIT  1901002</t>
  </si>
  <si>
    <t>pg. 263, ln. 1 (l)</t>
  </si>
  <si>
    <t>pg. 263, ln. 24 (l)</t>
  </si>
  <si>
    <t>pg. 263, ln. 25 (l)</t>
  </si>
  <si>
    <t>pg. 263, ln. 27 (l)</t>
  </si>
  <si>
    <t>pg. 263, ln. 28 (l)</t>
  </si>
  <si>
    <t>pg. 263, ln. 46 (I)</t>
  </si>
  <si>
    <t>27a</t>
  </si>
  <si>
    <t xml:space="preserve">  Energy Storage</t>
  </si>
  <si>
    <t>27b</t>
  </si>
  <si>
    <t xml:space="preserve">  Less: Energy Storage ARO (Enter Negative) </t>
  </si>
  <si>
    <t>Energy Storage</t>
  </si>
  <si>
    <t>Energy Storage ARO</t>
  </si>
  <si>
    <t>(k)</t>
  </si>
  <si>
    <t>(l)</t>
  </si>
  <si>
    <t>FF1, page 207 Col.(g) &amp; pg. 206 Col. (b), ln 84.14</t>
  </si>
  <si>
    <t>FF1, page 207 Col.(g) &amp; pg. 206 Col. (b), ln 84.13</t>
  </si>
  <si>
    <t>FF1, page 219, ln 27.1, Col. (b)</t>
  </si>
  <si>
    <t>Excluded Energy Storage Plant  - Plant In Service</t>
  </si>
  <si>
    <t>Excluded Energy Storage Plant  - Accumulated Depreciation</t>
  </si>
  <si>
    <t>Energy Storage Materials &amp; Supplies</t>
  </si>
  <si>
    <t>FF1, p. 227, ln 10.1, Col. (c) &amp; (b)</t>
  </si>
  <si>
    <t>ES</t>
  </si>
  <si>
    <t>135a</t>
  </si>
  <si>
    <t>ENERGY STORAGE PLANT INCLUDED IN PJM TARIFF</t>
  </si>
  <si>
    <t>135b</t>
  </si>
  <si>
    <r>
      <t xml:space="preserve">   </t>
    </r>
    <r>
      <rPr>
        <sz val="12"/>
        <rFont val="Arial"/>
        <family val="2"/>
      </rPr>
      <t xml:space="preserve">Total Energy Storage Plant </t>
    </r>
  </si>
  <si>
    <t>(page 2, line 27a, column 3)</t>
  </si>
  <si>
    <t>135c</t>
  </si>
  <si>
    <r>
      <t xml:space="preserve">   </t>
    </r>
    <r>
      <rPr>
        <sz val="12"/>
        <rFont val="Arial"/>
        <family val="2"/>
      </rPr>
      <t>Less Energy Storage Plant excuded from PJM Tariff (Note</t>
    </r>
    <r>
      <rPr>
        <b/>
        <sz val="12"/>
        <rFont val="Arial"/>
        <family val="2"/>
      </rPr>
      <t xml:space="preserve"> AA)</t>
    </r>
  </si>
  <si>
    <t>(Worksheet A ln 42.(f))</t>
  </si>
  <si>
    <t>135d</t>
  </si>
  <si>
    <r>
      <t xml:space="preserve">   </t>
    </r>
    <r>
      <rPr>
        <sz val="12"/>
        <rFont val="Arial"/>
        <family val="2"/>
      </rPr>
      <t>Energy Storage plant included in PJM Tariff</t>
    </r>
  </si>
  <si>
    <t>(line 135b less line 135c)</t>
  </si>
  <si>
    <t>135e</t>
  </si>
  <si>
    <t>Percentage of Energy Storage plant included in PJM Tariff</t>
  </si>
  <si>
    <t>(line 135d divided by line 135b)</t>
  </si>
  <si>
    <t>ES=</t>
  </si>
  <si>
    <t>38a</t>
  </si>
  <si>
    <t>38b</t>
  </si>
  <si>
    <t>45a</t>
  </si>
  <si>
    <t>59a</t>
  </si>
  <si>
    <t xml:space="preserve">  Energy Storage Materials &amp; Supplies (Note BB)</t>
  </si>
  <si>
    <t>(Worksheet C, ln 2a.(F))</t>
  </si>
  <si>
    <t>87a</t>
  </si>
  <si>
    <t>322.131.16.b</t>
  </si>
  <si>
    <t>102a</t>
  </si>
  <si>
    <t>336.9.1b</t>
  </si>
  <si>
    <t>139a</t>
  </si>
  <si>
    <t>354.22.1.b</t>
  </si>
  <si>
    <t>AA</t>
  </si>
  <si>
    <t>Removes energy storage plant not recovered in transmission rates as demonstrated on supporting workpaper or footnote to the Form 1, if applicable.</t>
  </si>
  <si>
    <t>BB</t>
  </si>
  <si>
    <t>Identified in Form 1 as being only energy storage related. The amount reported on Form 1 page 227, line 10.1 is entirely transmission-related unless specified in a footnote to the Form 1.</t>
  </si>
  <si>
    <t>1/1/2025 Beginning  Balances</t>
  </si>
  <si>
    <t>12/31/2025 Ending Balance</t>
  </si>
  <si>
    <t>For Year Ended December 31, 2025</t>
  </si>
  <si>
    <t>Fairs, Shows, and Exhibits</t>
  </si>
  <si>
    <t>New Jersey Income Tax Rate</t>
  </si>
  <si>
    <t>2015 - DEFICIENT ADFIT 190 - PROTECTED</t>
  </si>
  <si>
    <t>2016 - DEFICIENT ADFIT 190 - UNPROTECTED</t>
  </si>
  <si>
    <t>3094 - CAMT CREDIT C/F W Def Tax</t>
  </si>
  <si>
    <t>4041 - NOL - DEFERRED TAX ASSET RECLASS</t>
  </si>
  <si>
    <t>7039 - ACCRD LEASED ASSET BK RENT EXP</t>
  </si>
  <si>
    <t>7543 - REG ASSET-VA CAMT Deferral</t>
  </si>
  <si>
    <t>7591 - ACCRUED WV B&amp;O TAX RESERVE</t>
  </si>
  <si>
    <t>7627 - VA NBC RIDER UNDER-RECOVERY</t>
  </si>
  <si>
    <t>7628 - 2024 PENSIONS SETTLEMENT</t>
  </si>
  <si>
    <t>7629 - VA CONSUMABLE EXPENSE DEFERRAL</t>
  </si>
  <si>
    <t>7633 - FRINGE BENEFIT LOADING - PENSION</t>
  </si>
  <si>
    <t>7634 - FRINGE BENEFIT LOADING - OPEB</t>
  </si>
  <si>
    <t>7651 - WV Sec - Rate Case Exp</t>
  </si>
  <si>
    <t>7652 - LSE Formula Rate Deferral</t>
  </si>
  <si>
    <t>7671 - WV CAMT Deferral</t>
  </si>
  <si>
    <t>7679 - Defer Small Modular Reactor (SMR) O&amp;M Costs</t>
  </si>
  <si>
    <t>7488 - REG ASSET-NOLC Regulatory Asset</t>
  </si>
  <si>
    <t>7489 - REG ASSET-NOLC Reg Asset-Equity Carrying</t>
  </si>
  <si>
    <t>7656 - WV Sec - Pre-Issuance Exp</t>
  </si>
  <si>
    <t>7658 - VA SEC - Pre-Issuance Exp</t>
  </si>
  <si>
    <t>7669 - WV BBS Deferral + Unrecognized Equity CC</t>
  </si>
  <si>
    <t>7670 - WV MRBC Deferral + Equity</t>
  </si>
  <si>
    <t>7672 - WV BRSP Deferral + Equity</t>
  </si>
  <si>
    <t>ADFIT - FAS 109 Excess</t>
  </si>
  <si>
    <t>1904001</t>
  </si>
  <si>
    <t>1904002</t>
  </si>
  <si>
    <t>ADSIT - FAS 109 Excess (State Gross Up)</t>
  </si>
  <si>
    <t>Mix</t>
  </si>
  <si>
    <t>2834001</t>
  </si>
  <si>
    <t>ADFIT - FAS 109 Excess (Fed Gross Up)</t>
  </si>
  <si>
    <t>2834002</t>
  </si>
  <si>
    <t>1o</t>
  </si>
  <si>
    <t>1p</t>
  </si>
  <si>
    <t>1q</t>
  </si>
  <si>
    <t>1r</t>
  </si>
  <si>
    <t>1s</t>
  </si>
  <si>
    <r>
      <t>190</t>
    </r>
    <r>
      <rPr>
        <sz val="10"/>
        <color rgb="FFFF0000"/>
        <rFont val="Arial"/>
        <family val="2"/>
      </rPr>
      <t>1</t>
    </r>
    <r>
      <rPr>
        <sz val="10"/>
        <rFont val="Arial"/>
        <family val="2"/>
      </rPr>
      <t>001</t>
    </r>
  </si>
  <si>
    <t>4m</t>
  </si>
  <si>
    <t>4n</t>
  </si>
  <si>
    <t>4o</t>
  </si>
  <si>
    <r>
      <t>283</t>
    </r>
    <r>
      <rPr>
        <sz val="7.65"/>
        <color rgb="FFFF0000"/>
        <rFont val="Arial"/>
        <family val="2"/>
      </rPr>
      <t>4</t>
    </r>
    <r>
      <rPr>
        <sz val="9"/>
        <rFont val="Arial"/>
        <family val="2"/>
      </rPr>
      <t>001</t>
    </r>
  </si>
  <si>
    <t>4p</t>
  </si>
  <si>
    <r>
      <t>283</t>
    </r>
    <r>
      <rPr>
        <sz val="7.65"/>
        <color rgb="FFFF0000"/>
        <rFont val="Arial"/>
        <family val="2"/>
      </rPr>
      <t>4</t>
    </r>
    <r>
      <rPr>
        <sz val="9"/>
        <rFont val="Arial"/>
        <family val="2"/>
      </rPr>
      <t>002</t>
    </r>
  </si>
  <si>
    <t>4q</t>
  </si>
  <si>
    <t>pg. 263, ln. 57 (I)</t>
  </si>
  <si>
    <t>pg. 263, ln. 47 (I)</t>
  </si>
  <si>
    <t>pg. 263, ln. 48 (I)</t>
  </si>
  <si>
    <t>pg. 263, ln. 51 (I)</t>
  </si>
  <si>
    <t>pg. 263, ln. 54 (I)</t>
  </si>
  <si>
    <t>ADFIT - Other</t>
  </si>
  <si>
    <t>Senior Unsecured Notes - Series H</t>
  </si>
  <si>
    <t>Senior Unsecured Notes - Series N</t>
  </si>
  <si>
    <t>Senior Unsecured Notes - Series Q</t>
  </si>
  <si>
    <t>Senior Unsecured Notes - Series AA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</si>
</sst>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4">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00%"/>
    <numFmt numFmtId="165" formatCode="#,##0.00000"/>
    <numFmt numFmtId="166" formatCode="0.00000"/>
    <numFmt numFmtId="167" formatCode="#,##0.0000"/>
    <numFmt numFmtId="168" formatCode="#,##0.000"/>
    <numFmt numFmtId="169" formatCode="0.0000"/>
    <numFmt numFmtId="170" formatCode="&quot;$&quot;#,##0"/>
    <numFmt numFmtId="171" formatCode="&quot;$&quot;#,##0.000"/>
    <numFmt numFmtId="172" formatCode="&quot;$&quot;#,##0.00"/>
    <numFmt numFmtId="173" formatCode="_(* #,##0_);_(* \(#,##0\);_(* &quot;-&quot;??_);_(@_)"/>
    <numFmt numFmtId="174" formatCode="_(&quot;$&quot;* #,##0_);_(&quot;$&quot;* \(#,##0\);_(&quot;$&quot;* &quot;-&quot;??_);_(@_)"/>
    <numFmt numFmtId="175" formatCode="0.0000%"/>
    <numFmt numFmtId="176" formatCode="_(* #,##0.0_);_(* \(#,##0.0\);_(* &quot;-&quot;??_);_(@_)"/>
    <numFmt numFmtId="177" formatCode="0.000000"/>
    <numFmt numFmtId="178" formatCode="_(* #,##0.0000_);_(* \(#,##0.0000\);_(* &quot;-&quot;_);_(@_)"/>
    <numFmt numFmtId="179" formatCode="_(* #,##0.00000_);_(* \(#,##0.00000\);_(* &quot;-&quot;_);_(@_)"/>
    <numFmt numFmtId="180" formatCode="_(* #,##0.00000_);_(* \(#,##0.00000\);_(* &quot;-&quot;??_);_(@_)"/>
    <numFmt numFmtId="181" formatCode="#,##0.0000000"/>
    <numFmt numFmtId="182" formatCode="_(* #,##0.0000000_);_(* \(#,##0.0000000\);_(* &quot;-&quot;_);_(@_)"/>
    <numFmt numFmtId="183" formatCode="#,##0\ ;\(#,##0\)"/>
    <numFmt numFmtId="184" formatCode="_(* #,##0.0000_);_(* \(#,##0.0000\);_(* &quot;-&quot;??_);_(@_)"/>
    <numFmt numFmtId="185" formatCode="_(* #,##0.000_);_(* \(#,##0.000\);_(* &quot;-&quot;_);_(@_)"/>
    <numFmt numFmtId="186" formatCode="#,##0.000000"/>
    <numFmt numFmtId="187" formatCode="mmmm\ d\,\ yyyy"/>
    <numFmt numFmtId="188" formatCode="m/d/yy;@"/>
    <numFmt numFmtId="189" formatCode="0.000"/>
    <numFmt numFmtId="190" formatCode="0.000000_)"/>
    <numFmt numFmtId="191" formatCode="#,##0.000000_);\(#,##0.000000\)"/>
    <numFmt numFmtId="192" formatCode="0_);\(0\)"/>
    <numFmt numFmtId="193" formatCode="0.0"/>
    <numFmt numFmtId="194" formatCode="&quot;$&quot;#,##0.0000"/>
    <numFmt numFmtId="195" formatCode="[$-409]mmm\-yy;@"/>
    <numFmt numFmtId="196" formatCode="#,##0_);[Red]\(#,##0\);&quot; &quot;"/>
    <numFmt numFmtId="197" formatCode="_(* #,##0.00_);_(* \(#,##0.00\);_(* &quot;-&quot;_);_(@_)"/>
    <numFmt numFmtId="198" formatCode="#,##0.00000000000000"/>
    <numFmt numFmtId="199" formatCode="_(* #,##0.000_);_(* \(#,##0.000\);_(* &quot;-&quot;??_);_(@_)"/>
    <numFmt numFmtId="200" formatCode="0.000000%"/>
    <numFmt numFmtId="201" formatCode="mm/dd/yy_)"/>
  </numFmts>
  <fonts count="17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2"/>
      <name val="Arial MT"/>
    </font>
    <font>
      <b/>
      <sz val="14"/>
      <name val="Arial"/>
      <family val="2"/>
    </font>
    <font>
      <sz val="12"/>
      <name val="Arial"/>
      <family val="2"/>
    </font>
    <font>
      <b/>
      <sz val="12"/>
      <name val="Arial"/>
      <family val="2"/>
    </font>
    <font>
      <b/>
      <sz val="10"/>
      <color indexed="10"/>
      <name val="Arial"/>
      <family val="2"/>
    </font>
    <font>
      <sz val="10"/>
      <color indexed="12"/>
      <name val="Arial"/>
      <family val="2"/>
    </font>
    <font>
      <b/>
      <sz val="10"/>
      <name val="Arial"/>
      <family val="2"/>
    </font>
    <font>
      <b/>
      <u/>
      <sz val="12"/>
      <name val="Arial"/>
      <family val="2"/>
    </font>
    <font>
      <b/>
      <sz val="16"/>
      <name val="Arial"/>
      <family val="2"/>
    </font>
    <font>
      <sz val="10"/>
      <name val="Arial"/>
      <family val="2"/>
    </font>
    <font>
      <u/>
      <sz val="10"/>
      <name val="Arial"/>
      <family val="2"/>
    </font>
    <font>
      <u/>
      <sz val="12"/>
      <name val="Arial"/>
      <family val="2"/>
    </font>
    <font>
      <sz val="10"/>
      <name val="Times New Roman"/>
      <family val="1"/>
    </font>
    <font>
      <i/>
      <sz val="10"/>
      <name val="Arial"/>
      <family val="2"/>
    </font>
    <font>
      <b/>
      <u/>
      <sz val="10"/>
      <name val="Arial"/>
      <family val="2"/>
    </font>
    <font>
      <sz val="14"/>
      <name val="Arial"/>
      <family val="2"/>
    </font>
    <font>
      <sz val="12"/>
      <color indexed="12"/>
      <name val="Arial"/>
      <family val="2"/>
    </font>
    <font>
      <sz val="10"/>
      <color indexed="12"/>
      <name val="Arial"/>
      <family val="2"/>
    </font>
    <font>
      <b/>
      <sz val="12"/>
      <color indexed="12"/>
      <name val="Arial"/>
      <family val="2"/>
    </font>
    <font>
      <sz val="10"/>
      <color indexed="10"/>
      <name val="Arial"/>
      <family val="2"/>
    </font>
    <font>
      <sz val="12"/>
      <color indexed="10"/>
      <name val="Arial"/>
      <family val="2"/>
    </font>
    <font>
      <sz val="9"/>
      <name val="Arial"/>
      <family val="2"/>
    </font>
    <font>
      <b/>
      <sz val="9"/>
      <name val="Arial"/>
      <family val="2"/>
    </font>
    <font>
      <sz val="12"/>
      <name val="Arial"/>
      <family val="2"/>
    </font>
    <font>
      <sz val="12"/>
      <color indexed="12"/>
      <name val="Arial"/>
      <family val="2"/>
    </font>
    <font>
      <i/>
      <sz val="12"/>
      <name val="Arial"/>
      <family val="2"/>
    </font>
    <font>
      <b/>
      <sz val="12"/>
      <color indexed="10"/>
      <name val="Helv"/>
    </font>
    <font>
      <b/>
      <sz val="12"/>
      <color indexed="10"/>
      <name val="Arial Narrow"/>
      <family val="2"/>
    </font>
    <font>
      <b/>
      <sz val="18"/>
      <name val="Arial"/>
      <family val="2"/>
    </font>
    <font>
      <sz val="10"/>
      <name val="Arial"/>
      <family val="2"/>
    </font>
    <font>
      <sz val="10"/>
      <name val="MS Sans Serif"/>
      <family val="2"/>
    </font>
    <font>
      <b/>
      <sz val="10"/>
      <name val="MS Sans Serif"/>
      <family val="2"/>
    </font>
    <font>
      <sz val="11"/>
      <color indexed="8"/>
      <name val="Arial Narrow"/>
      <family val="2"/>
    </font>
    <font>
      <sz val="11"/>
      <color indexed="9"/>
      <name val="Arial Narrow"/>
      <family val="2"/>
    </font>
    <font>
      <sz val="11"/>
      <color indexed="20"/>
      <name val="Arial Narrow"/>
      <family val="2"/>
    </font>
    <font>
      <sz val="8"/>
      <name val="Arial"/>
      <family val="2"/>
    </font>
    <font>
      <b/>
      <i/>
      <sz val="14"/>
      <name val="Arial"/>
      <family val="2"/>
    </font>
    <font>
      <b/>
      <sz val="11"/>
      <name val="Arial"/>
      <family val="2"/>
    </font>
    <font>
      <b/>
      <sz val="24"/>
      <name val="Arial Narrow"/>
      <family val="2"/>
    </font>
    <font>
      <b/>
      <i/>
      <sz val="12"/>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1"/>
      <color indexed="52"/>
      <name val="Arial Narrow"/>
      <family val="2"/>
    </font>
    <font>
      <b/>
      <sz val="11"/>
      <color indexed="9"/>
      <name val="Arial Narrow"/>
      <family val="2"/>
    </font>
    <font>
      <i/>
      <sz val="11"/>
      <color indexed="23"/>
      <name val="Arial Narrow"/>
      <family val="2"/>
    </font>
    <font>
      <sz val="11"/>
      <color indexed="17"/>
      <name val="Arial Narrow"/>
      <family val="2"/>
    </font>
    <font>
      <b/>
      <sz val="11"/>
      <color indexed="56"/>
      <name val="Arial Narrow"/>
      <family val="2"/>
    </font>
    <font>
      <b/>
      <sz val="14"/>
      <name val="Book Antiqua"/>
      <family val="1"/>
    </font>
    <font>
      <i/>
      <sz val="10"/>
      <name val="Book Antiqua"/>
      <family val="1"/>
    </font>
    <font>
      <sz val="11"/>
      <color indexed="62"/>
      <name val="Arial Narrow"/>
      <family val="2"/>
    </font>
    <font>
      <sz val="11"/>
      <color indexed="52"/>
      <name val="Arial Narrow"/>
      <family val="2"/>
    </font>
    <font>
      <sz val="11"/>
      <color indexed="60"/>
      <name val="Arial Narrow"/>
      <family val="2"/>
    </font>
    <font>
      <b/>
      <sz val="11"/>
      <color indexed="63"/>
      <name val="Arial Narrow"/>
      <family val="2"/>
    </font>
    <font>
      <sz val="8"/>
      <color indexed="38"/>
      <name val="Arial"/>
      <family val="2"/>
    </font>
    <font>
      <b/>
      <i/>
      <sz val="16"/>
      <name val="Arial"/>
      <family val="2"/>
    </font>
    <font>
      <b/>
      <sz val="12"/>
      <color indexed="32"/>
      <name val="Arial"/>
      <family val="2"/>
    </font>
    <font>
      <i/>
      <sz val="11"/>
      <name val="Arial"/>
      <family val="2"/>
    </font>
    <font>
      <sz val="11"/>
      <name val="Arial"/>
      <family val="2"/>
    </font>
    <font>
      <b/>
      <sz val="18"/>
      <color indexed="56"/>
      <name val="Cambria"/>
      <family val="2"/>
    </font>
    <font>
      <sz val="11"/>
      <color indexed="10"/>
      <name val="Arial Narrow"/>
      <family val="2"/>
    </font>
    <font>
      <b/>
      <sz val="14"/>
      <name val="MS Serif"/>
      <family val="1"/>
    </font>
    <font>
      <sz val="10"/>
      <name val="MS Serif"/>
      <family val="1"/>
    </font>
    <font>
      <b/>
      <sz val="10"/>
      <color indexed="8"/>
      <name val="Arial"/>
      <family val="2"/>
    </font>
    <font>
      <b/>
      <sz val="10"/>
      <color indexed="12"/>
      <name val="Arial"/>
      <family val="2"/>
    </font>
    <font>
      <sz val="10"/>
      <name val="Helv"/>
    </font>
    <font>
      <sz val="14"/>
      <name val="Helv"/>
    </font>
    <font>
      <sz val="14"/>
      <color indexed="12"/>
      <name val="Arial"/>
      <family val="2"/>
    </font>
    <font>
      <b/>
      <u/>
      <sz val="14"/>
      <name val="Helv"/>
    </font>
    <font>
      <b/>
      <sz val="14"/>
      <name val="Helv"/>
    </font>
    <font>
      <sz val="14"/>
      <name val="Arial"/>
      <family val="2"/>
    </font>
    <font>
      <b/>
      <sz val="12"/>
      <name val="Arial MT"/>
    </font>
    <font>
      <sz val="14"/>
      <color indexed="12"/>
      <name val="Helv"/>
    </font>
    <font>
      <b/>
      <sz val="10"/>
      <color indexed="10"/>
      <name val="Arial Narrow"/>
      <family val="2"/>
    </font>
    <font>
      <b/>
      <u/>
      <sz val="14"/>
      <name val="Arial"/>
      <family val="2"/>
    </font>
    <font>
      <u/>
      <sz val="12"/>
      <name val="Arial MT"/>
    </font>
    <font>
      <u/>
      <sz val="12"/>
      <name val="Times New Roman"/>
      <family val="1"/>
    </font>
    <font>
      <u val="singleAccounting"/>
      <sz val="10"/>
      <name val="Arial"/>
      <family val="2"/>
    </font>
    <font>
      <strike/>
      <sz val="12"/>
      <color indexed="10"/>
      <name val="Arial"/>
      <family val="2"/>
    </font>
    <font>
      <sz val="12"/>
      <color indexed="10"/>
      <name val="Arial MT"/>
    </font>
    <font>
      <b/>
      <strike/>
      <u/>
      <sz val="10"/>
      <color indexed="10"/>
      <name val="Arial"/>
      <family val="2"/>
    </font>
    <font>
      <strike/>
      <u/>
      <sz val="10"/>
      <color indexed="10"/>
      <name val="Arial"/>
      <family val="2"/>
    </font>
    <font>
      <sz val="8"/>
      <name val="Arial"/>
      <family val="2"/>
    </font>
    <font>
      <b/>
      <i/>
      <u/>
      <sz val="10"/>
      <name val="Arial"/>
      <family val="2"/>
    </font>
    <font>
      <strike/>
      <sz val="14"/>
      <color indexed="10"/>
      <name val="Helv"/>
    </font>
    <font>
      <b/>
      <i/>
      <u/>
      <sz val="12"/>
      <name val="Arial"/>
      <family val="2"/>
    </font>
    <font>
      <b/>
      <sz val="10"/>
      <name val="Times New Roman"/>
      <family val="1"/>
    </font>
    <font>
      <b/>
      <sz val="12"/>
      <name val="Times New Roman"/>
      <family val="1"/>
    </font>
    <font>
      <strike/>
      <sz val="12"/>
      <name val="Arial"/>
      <family val="2"/>
    </font>
    <font>
      <b/>
      <sz val="10"/>
      <name val="Arial"/>
      <family val="2"/>
    </font>
    <font>
      <b/>
      <u val="singleAccounting"/>
      <sz val="10"/>
      <name val="Arial"/>
      <family val="2"/>
    </font>
    <font>
      <b/>
      <strike/>
      <sz val="10"/>
      <name val="Arial"/>
      <family val="2"/>
    </font>
    <font>
      <b/>
      <sz val="10"/>
      <name val="Arial Narrow"/>
      <family val="2"/>
    </font>
    <font>
      <b/>
      <strike/>
      <u/>
      <sz val="10"/>
      <name val="Arial"/>
      <family val="2"/>
    </font>
    <font>
      <sz val="10"/>
      <color indexed="8"/>
      <name val="Helv"/>
    </font>
    <font>
      <sz val="13"/>
      <name val="Times New Roman"/>
      <family val="1"/>
    </font>
    <font>
      <sz val="10"/>
      <name val="Arial"/>
      <family val="2"/>
    </font>
    <font>
      <sz val="10"/>
      <name val="Arial MT"/>
    </font>
    <font>
      <u/>
      <sz val="11"/>
      <name val="Arial"/>
      <family val="2"/>
    </font>
    <font>
      <sz val="12"/>
      <name val="Arial Black"/>
      <family val="2"/>
    </font>
    <font>
      <sz val="10"/>
      <color indexed="12"/>
      <name val="Courier"/>
      <family val="3"/>
    </font>
    <font>
      <i/>
      <sz val="12"/>
      <name val="Arial Condensed Bold"/>
    </font>
    <font>
      <i/>
      <sz val="12"/>
      <color indexed="12"/>
      <name val="Arial Condensed Bold"/>
    </font>
    <font>
      <b/>
      <i/>
      <sz val="12"/>
      <color indexed="12"/>
      <name val="Arial MT"/>
    </font>
    <font>
      <b/>
      <i/>
      <sz val="12"/>
      <name val="Arial MT"/>
    </font>
    <font>
      <b/>
      <sz val="10"/>
      <color indexed="17"/>
      <name val="Courier"/>
      <family val="3"/>
    </font>
    <font>
      <b/>
      <sz val="12"/>
      <color indexed="17"/>
      <name val="Arial MT"/>
    </font>
    <font>
      <b/>
      <u/>
      <sz val="12"/>
      <name val="Arial MT"/>
    </font>
    <font>
      <sz val="12"/>
      <name val="Arial"/>
      <family val="2"/>
    </font>
    <font>
      <sz val="16"/>
      <name val="Arial"/>
      <family val="2"/>
    </font>
    <font>
      <sz val="12"/>
      <name val="Arial"/>
      <family val="2"/>
    </font>
    <font>
      <sz val="10"/>
      <name val="Arial"/>
      <family val="2"/>
    </font>
    <font>
      <sz val="12"/>
      <name val="Arial Narrow"/>
      <family val="2"/>
    </font>
    <font>
      <b/>
      <sz val="12"/>
      <name val="Arial Narrow"/>
      <family val="2"/>
    </font>
    <font>
      <b/>
      <u/>
      <sz val="12"/>
      <name val="Arial Narrow"/>
      <family val="2"/>
    </font>
    <font>
      <sz val="10"/>
      <color indexed="9"/>
      <name val="Arial"/>
      <family val="2"/>
    </font>
    <font>
      <sz val="11"/>
      <color indexed="12"/>
      <name val="Arial"/>
      <family val="2"/>
    </font>
    <font>
      <sz val="10"/>
      <name val="Arial"/>
      <family val="2"/>
    </font>
    <font>
      <sz val="10"/>
      <name val="Arial"/>
      <family val="2"/>
    </font>
    <font>
      <sz val="10"/>
      <name val="Arial"/>
      <family val="2"/>
    </font>
    <font>
      <b/>
      <i/>
      <sz val="12"/>
      <name val="Times New Roman"/>
      <family val="1"/>
    </font>
    <font>
      <sz val="10"/>
      <color indexed="40"/>
      <name val="Arial"/>
      <family val="2"/>
    </font>
    <font>
      <sz val="10"/>
      <color indexed="40"/>
      <name val="Times New Roman"/>
      <family val="1"/>
    </font>
    <font>
      <sz val="10"/>
      <name val="Arial"/>
      <family val="2"/>
    </font>
    <font>
      <b/>
      <strike/>
      <sz val="12"/>
      <color indexed="10"/>
      <name val="Arial"/>
      <family val="2"/>
    </font>
    <font>
      <sz val="10"/>
      <name val="Arial"/>
      <family val="2"/>
    </font>
    <font>
      <sz val="14"/>
      <name val="Cambria"/>
      <family val="1"/>
    </font>
    <font>
      <sz val="12"/>
      <name val="Cambria"/>
      <family val="1"/>
    </font>
    <font>
      <b/>
      <sz val="12"/>
      <name val="Arial Black"/>
      <family val="2"/>
    </font>
    <font>
      <b/>
      <sz val="12"/>
      <name val="Arial Condensed Bold"/>
    </font>
    <font>
      <sz val="10"/>
      <name val="Arial"/>
      <family val="2"/>
    </font>
    <font>
      <b/>
      <i/>
      <sz val="12"/>
      <name val="Cambria"/>
      <family val="1"/>
    </font>
    <font>
      <sz val="10"/>
      <name val="Cambria"/>
      <family val="1"/>
    </font>
    <font>
      <sz val="12"/>
      <color indexed="10"/>
      <name val="Cambria"/>
      <family val="1"/>
    </font>
    <font>
      <b/>
      <sz val="10"/>
      <name val="Cambria"/>
      <family val="1"/>
    </font>
    <font>
      <sz val="10"/>
      <color indexed="10"/>
      <name val="Cambria"/>
      <family val="1"/>
    </font>
    <font>
      <u/>
      <sz val="10"/>
      <name val="Cambria"/>
      <family val="1"/>
    </font>
    <font>
      <u/>
      <sz val="10"/>
      <color indexed="10"/>
      <name val="Cambria"/>
      <family val="1"/>
    </font>
    <font>
      <u/>
      <sz val="10"/>
      <color indexed="8"/>
      <name val="Cambria"/>
      <family val="1"/>
    </font>
    <font>
      <sz val="10"/>
      <color indexed="12"/>
      <name val="Cambria"/>
      <family val="1"/>
    </font>
    <font>
      <b/>
      <u/>
      <sz val="10"/>
      <name val="Cambria"/>
      <family val="1"/>
    </font>
    <font>
      <sz val="10"/>
      <name val="Arial"/>
      <family val="2"/>
    </font>
    <font>
      <b/>
      <u/>
      <sz val="11"/>
      <name val="Arial"/>
      <family val="2"/>
    </font>
    <font>
      <sz val="11"/>
      <color indexed="8"/>
      <name val="Calibri"/>
      <family val="2"/>
    </font>
    <font>
      <sz val="10"/>
      <color indexed="12"/>
      <name val="Arial"/>
      <family val="2"/>
    </font>
    <font>
      <sz val="8"/>
      <color indexed="8"/>
      <name val="Calibri"/>
      <family val="2"/>
    </font>
    <font>
      <sz val="10"/>
      <color indexed="10"/>
      <name val="Arial"/>
      <family val="2"/>
    </font>
    <font>
      <strike/>
      <sz val="12"/>
      <color indexed="10"/>
      <name val="Cambria"/>
      <family val="1"/>
    </font>
    <font>
      <sz val="12"/>
      <color indexed="10"/>
      <name val="Arial"/>
      <family val="2"/>
    </font>
    <font>
      <b/>
      <sz val="10"/>
      <color indexed="10"/>
      <name val="Arial"/>
      <family val="2"/>
    </font>
    <font>
      <sz val="14"/>
      <color indexed="10"/>
      <name val="Arial"/>
      <family val="2"/>
    </font>
    <font>
      <b/>
      <sz val="14"/>
      <color indexed="10"/>
      <name val="Arial"/>
      <family val="2"/>
    </font>
    <font>
      <sz val="12"/>
      <color indexed="8"/>
      <name val="Arial"/>
      <family val="2"/>
    </font>
    <font>
      <sz val="12"/>
      <color indexed="23"/>
      <name val="Arial"/>
      <family val="2"/>
    </font>
    <font>
      <sz val="12"/>
      <color indexed="9"/>
      <name val="Arial"/>
      <family val="2"/>
    </font>
    <font>
      <sz val="11"/>
      <color theme="1"/>
      <name val="Calibri"/>
      <family val="2"/>
      <scheme val="minor"/>
    </font>
    <font>
      <sz val="11"/>
      <color theme="1"/>
      <name val="Calibri"/>
      <family val="2"/>
    </font>
    <font>
      <sz val="12"/>
      <name val="Arial MT"/>
      <family val="2"/>
    </font>
    <font>
      <sz val="9"/>
      <color rgb="FFFF0000"/>
      <name val="Arial"/>
      <family val="2"/>
    </font>
    <font>
      <sz val="9"/>
      <name val="Arial MT"/>
      <family val="2"/>
    </font>
    <font>
      <sz val="10"/>
      <color theme="1"/>
      <name val="Arial"/>
      <family val="2"/>
    </font>
    <font>
      <i/>
      <sz val="12"/>
      <name val="Arial MT"/>
    </font>
    <font>
      <sz val="10"/>
      <color rgb="FFFF0000"/>
      <name val="Arial"/>
      <family val="2"/>
    </font>
    <font>
      <b/>
      <sz val="9"/>
      <name val="Calibri Light"/>
      <family val="2"/>
    </font>
    <font>
      <sz val="7.65"/>
      <color rgb="FFFF0000"/>
      <name val="Arial"/>
      <family val="2"/>
    </font>
  </fonts>
  <fills count="3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indexed="42"/>
        <bgColor indexed="64"/>
      </patternFill>
    </fill>
    <fill>
      <patternFill patternType="solid">
        <fgColor indexed="55"/>
        <bgColor indexed="64"/>
      </patternFill>
    </fill>
    <fill>
      <patternFill patternType="solid">
        <fgColor indexed="27"/>
        <bgColor indexed="64"/>
      </patternFill>
    </fill>
    <fill>
      <patternFill patternType="solid">
        <fgColor indexed="13"/>
        <bgColor indexed="64"/>
      </patternFill>
    </fill>
    <fill>
      <patternFill patternType="solid">
        <fgColor indexed="23"/>
        <bgColor indexed="64"/>
      </patternFill>
    </fill>
    <fill>
      <patternFill patternType="solid">
        <fgColor theme="0"/>
        <bgColor indexed="64"/>
      </patternFill>
    </fill>
    <fill>
      <patternFill patternType="solid">
        <fgColor rgb="FFCCFFFF"/>
        <bgColor indexed="64"/>
      </patternFill>
    </fill>
    <fill>
      <patternFill patternType="solid">
        <fgColor theme="0" tint="-0.24991607409894101"/>
        <bgColor indexed="64"/>
      </patternFill>
    </fill>
    <fill>
      <patternFill patternType="darkUp">
        <bgColor theme="0" tint="-0.14990691854609822"/>
      </patternFill>
    </fill>
    <fill>
      <patternFill patternType="solid">
        <fgColor rgb="FFFFC000"/>
        <bgColor indexed="64"/>
      </patternFill>
    </fill>
    <fill>
      <patternFill patternType="solid">
        <fgColor rgb="FFFFFF00"/>
        <bgColor indexed="64"/>
      </patternFill>
    </fill>
    <fill>
      <patternFill patternType="darkUp">
        <bgColor theme="0"/>
      </patternFill>
    </fill>
  </fills>
  <borders count="70">
    <border>
      <left/>
      <right/>
      <top/>
      <bottom/>
      <diagonal/>
    </border>
    <border>
      <left/>
      <right/>
      <top style="double">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30"/>
      </bottom>
      <diagonal/>
    </border>
    <border>
      <left/>
      <right/>
      <top/>
      <bottom style="medium">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style="double">
        <color indexed="64"/>
      </bottom>
      <diagonal/>
    </border>
    <border>
      <left/>
      <right/>
      <top style="medium">
        <color indexed="64"/>
      </top>
      <bottom/>
      <diagonal/>
    </border>
    <border>
      <left/>
      <right/>
      <top style="medium">
        <color indexed="8"/>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style="thin">
        <color indexed="64"/>
      </bottom>
      <diagonal/>
    </border>
    <border>
      <left/>
      <right/>
      <top/>
      <bottom style="medium">
        <color indexed="8"/>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double">
        <color indexed="64"/>
      </bottom>
      <diagonal/>
    </border>
    <border>
      <left/>
      <right/>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8"/>
      </top>
      <bottom/>
      <diagonal/>
    </border>
    <border>
      <left/>
      <right/>
      <top style="double">
        <color indexed="8"/>
      </top>
      <bottom/>
      <diagonal/>
    </border>
    <border>
      <left style="medium">
        <color indexed="64"/>
      </left>
      <right style="medium">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double">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double">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style="thin">
        <color auto="1"/>
      </top>
      <bottom style="thin">
        <color auto="1"/>
      </bottom>
      <diagonal/>
    </border>
    <border>
      <left/>
      <right/>
      <top style="thin">
        <color auto="1"/>
      </top>
      <bottom style="double">
        <color auto="1"/>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s>
  <cellStyleXfs count="758">
    <xf numFmtId="0" fontId="0" fillId="0" borderId="0"/>
    <xf numFmtId="0" fontId="38" fillId="2" borderId="0" applyNumberFormat="0" applyBorder="0" applyAlignment="0" applyProtection="0"/>
    <xf numFmtId="0" fontId="38" fillId="2"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172" fontId="41" fillId="0" borderId="0" applyFill="0"/>
    <xf numFmtId="172" fontId="41" fillId="0" borderId="0">
      <alignment horizontal="center"/>
    </xf>
    <xf numFmtId="0" fontId="41" fillId="0" borderId="0" applyFill="0">
      <alignment horizontal="center"/>
    </xf>
    <xf numFmtId="172" fontId="7" fillId="0" borderId="1" applyFill="0"/>
    <xf numFmtId="0" fontId="15" fillId="0" borderId="0" applyFont="0" applyAlignment="0"/>
    <xf numFmtId="0" fontId="42" fillId="0" borderId="0" applyFill="0">
      <alignment vertical="top"/>
    </xf>
    <xf numFmtId="0" fontId="7" fillId="0" borderId="0" applyFill="0">
      <alignment horizontal="left" vertical="top"/>
    </xf>
    <xf numFmtId="172" fontId="9" fillId="0" borderId="2" applyFill="0"/>
    <xf numFmtId="0" fontId="15" fillId="0" borderId="0" applyNumberFormat="0" applyFont="0" applyAlignment="0"/>
    <xf numFmtId="0" fontId="42" fillId="0" borderId="0" applyFill="0">
      <alignment wrapText="1"/>
    </xf>
    <xf numFmtId="0" fontId="7" fillId="0" borderId="0" applyFill="0">
      <alignment horizontal="left" vertical="top" wrapText="1"/>
    </xf>
    <xf numFmtId="172" fontId="43" fillId="0" borderId="0" applyFill="0"/>
    <xf numFmtId="0" fontId="44" fillId="0" borderId="0" applyNumberFormat="0" applyFont="0" applyAlignment="0">
      <alignment horizontal="center"/>
    </xf>
    <xf numFmtId="0" fontId="45" fillId="0" borderId="0" applyFill="0">
      <alignment vertical="top" wrapText="1"/>
    </xf>
    <xf numFmtId="0" fontId="9" fillId="0" borderId="0" applyFill="0">
      <alignment horizontal="left" vertical="top" wrapText="1"/>
    </xf>
    <xf numFmtId="172" fontId="15" fillId="0" borderId="0" applyFill="0"/>
    <xf numFmtId="0" fontId="44" fillId="0" borderId="0" applyNumberFormat="0" applyFont="0" applyAlignment="0">
      <alignment horizontal="center"/>
    </xf>
    <xf numFmtId="0" fontId="31" fillId="0" borderId="0" applyFill="0">
      <alignment vertical="center" wrapText="1"/>
    </xf>
    <xf numFmtId="0" fontId="8" fillId="0" borderId="0">
      <alignment horizontal="left" vertical="center" wrapText="1"/>
    </xf>
    <xf numFmtId="172" fontId="27" fillId="0" borderId="0" applyFill="0"/>
    <xf numFmtId="0" fontId="44" fillId="0" borderId="0" applyNumberFormat="0" applyFont="0" applyAlignment="0">
      <alignment horizontal="center"/>
    </xf>
    <xf numFmtId="0" fontId="19" fillId="0" borderId="0" applyFill="0">
      <alignment horizontal="center" vertical="center" wrapText="1"/>
    </xf>
    <xf numFmtId="0" fontId="15" fillId="0" borderId="0" applyFill="0">
      <alignment horizontal="center" vertical="center" wrapText="1"/>
    </xf>
    <xf numFmtId="172" fontId="46" fillId="0" borderId="0" applyFill="0"/>
    <xf numFmtId="0" fontId="44" fillId="0" borderId="0" applyNumberFormat="0" applyFont="0" applyAlignment="0">
      <alignment horizontal="center"/>
    </xf>
    <xf numFmtId="0" fontId="47" fillId="0" borderId="0" applyFill="0">
      <alignment horizontal="center" vertical="center" wrapText="1"/>
    </xf>
    <xf numFmtId="0" fontId="48" fillId="0" borderId="0" applyFill="0">
      <alignment horizontal="center" vertical="center" wrapText="1"/>
    </xf>
    <xf numFmtId="172" fontId="49" fillId="0" borderId="0" applyFill="0"/>
    <xf numFmtId="0" fontId="44" fillId="0" borderId="0" applyNumberFormat="0" applyFont="0" applyAlignment="0">
      <alignment horizontal="center"/>
    </xf>
    <xf numFmtId="0" fontId="50" fillId="0" borderId="0">
      <alignment horizontal="center" wrapText="1"/>
    </xf>
    <xf numFmtId="0" fontId="46" fillId="0" borderId="0" applyFill="0">
      <alignment horizontal="center" wrapText="1"/>
    </xf>
    <xf numFmtId="0" fontId="51" fillId="20" borderId="3" applyNumberFormat="0" applyAlignment="0" applyProtection="0"/>
    <xf numFmtId="0" fontId="51" fillId="20" borderId="3" applyNumberFormat="0" applyAlignment="0" applyProtection="0"/>
    <xf numFmtId="0" fontId="52" fillId="21" borderId="4" applyNumberFormat="0" applyAlignment="0" applyProtection="0"/>
    <xf numFmtId="0" fontId="52" fillId="21" borderId="4" applyNumberFormat="0" applyAlignment="0" applyProtection="0"/>
    <xf numFmtId="43" fontId="5" fillId="0" borderId="0" applyFont="0" applyFill="0" applyBorder="0" applyAlignment="0" applyProtection="0"/>
    <xf numFmtId="43" fontId="149" fillId="0" borderId="0" applyFont="0" applyFill="0" applyBorder="0" applyAlignment="0" applyProtection="0"/>
    <xf numFmtId="43" fontId="1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 fillId="0" borderId="0" applyFont="0" applyFill="0" applyBorder="0" applyAlignment="0" applyProtection="0"/>
    <xf numFmtId="43" fontId="149" fillId="0" borderId="0" applyFont="0" applyFill="0" applyBorder="0" applyAlignment="0" applyProtection="0"/>
    <xf numFmtId="43" fontId="15" fillId="0" borderId="0" applyFont="0" applyFill="0" applyBorder="0" applyAlignment="0" applyProtection="0"/>
    <xf numFmtId="43" fontId="12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2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31" fillId="0" borderId="0" applyFont="0" applyFill="0" applyBorder="0" applyAlignment="0" applyProtection="0"/>
    <xf numFmtId="43" fontId="15" fillId="0" borderId="0" applyFont="0" applyFill="0" applyBorder="0" applyAlignment="0" applyProtection="0"/>
    <xf numFmtId="43" fontId="13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9" fillId="0" borderId="0" applyFont="0" applyFill="0" applyBorder="0" applyAlignment="0" applyProtection="0"/>
    <xf numFmtId="43" fontId="15" fillId="0" borderId="0" applyFont="0" applyFill="0" applyBorder="0" applyAlignment="0" applyProtection="0"/>
    <xf numFmtId="43" fontId="151" fillId="0" borderId="0" applyFont="0" applyFill="0" applyBorder="0" applyAlignment="0" applyProtection="0"/>
    <xf numFmtId="43" fontId="15" fillId="0" borderId="0" applyFont="0" applyFill="0" applyBorder="0" applyAlignment="0" applyProtection="0"/>
    <xf numFmtId="43" fontId="131" fillId="0" borderId="0" applyFont="0" applyFill="0" applyBorder="0" applyAlignment="0" applyProtection="0"/>
    <xf numFmtId="43" fontId="15" fillId="0" borderId="0" applyFont="0" applyFill="0" applyBorder="0" applyAlignment="0" applyProtection="0"/>
    <xf numFmtId="43" fontId="151" fillId="0" borderId="0" applyFont="0" applyFill="0" applyBorder="0" applyAlignment="0" applyProtection="0"/>
    <xf numFmtId="43" fontId="15" fillId="0" borderId="0" applyFont="0" applyFill="0" applyBorder="0" applyAlignment="0" applyProtection="0"/>
    <xf numFmtId="43" fontId="151" fillId="0" borderId="0" applyFont="0" applyFill="0" applyBorder="0" applyAlignment="0" applyProtection="0"/>
    <xf numFmtId="43" fontId="138"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9" fillId="0" borderId="0" applyFont="0" applyFill="0" applyBorder="0" applyAlignment="0" applyProtection="0"/>
    <xf numFmtId="43" fontId="5" fillId="0" borderId="0" applyFont="0" applyFill="0" applyBorder="0" applyAlignment="0" applyProtection="0"/>
    <xf numFmtId="3" fontId="15" fillId="0" borderId="0" applyFont="0" applyFill="0" applyBorder="0" applyAlignment="0" applyProtection="0"/>
    <xf numFmtId="44" fontId="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5" fillId="0" borderId="0" applyFont="0" applyFill="0" applyBorder="0" applyAlignment="0" applyProtection="0"/>
    <xf numFmtId="44" fontId="15" fillId="0" borderId="0" applyFont="0" applyFill="0" applyBorder="0" applyAlignment="0" applyProtection="0"/>
    <xf numFmtId="44" fontId="126"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27"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31"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49" fillId="0" borderId="0" applyFont="0" applyFill="0" applyBorder="0" applyAlignment="0" applyProtection="0"/>
    <xf numFmtId="44" fontId="149" fillId="0" borderId="0" applyFont="0" applyFill="0" applyBorder="0" applyAlignment="0" applyProtection="0"/>
    <xf numFmtId="44" fontId="151" fillId="0" borderId="0" applyFont="0" applyFill="0" applyBorder="0" applyAlignment="0" applyProtection="0"/>
    <xf numFmtId="44" fontId="15" fillId="0" borderId="0" applyFont="0" applyFill="0" applyBorder="0" applyAlignment="0" applyProtection="0"/>
    <xf numFmtId="44" fontId="131" fillId="0" borderId="0" applyFont="0" applyFill="0" applyBorder="0" applyAlignment="0" applyProtection="0"/>
    <xf numFmtId="44" fontId="15" fillId="0" borderId="0" applyFont="0" applyFill="0" applyBorder="0" applyAlignment="0" applyProtection="0"/>
    <xf numFmtId="44" fontId="151" fillId="0" borderId="0" applyFont="0" applyFill="0" applyBorder="0" applyAlignment="0" applyProtection="0"/>
    <xf numFmtId="44" fontId="15" fillId="0" borderId="0" applyFont="0" applyFill="0" applyBorder="0" applyAlignment="0" applyProtection="0"/>
    <xf numFmtId="44" fontId="149" fillId="0" borderId="0" applyFont="0" applyFill="0" applyBorder="0" applyAlignment="0" applyProtection="0"/>
    <xf numFmtId="44" fontId="149" fillId="0" borderId="0" applyFont="0" applyFill="0" applyBorder="0" applyAlignment="0" applyProtection="0"/>
    <xf numFmtId="5" fontId="15" fillId="0" borderId="0" applyFont="0" applyFill="0" applyBorder="0" applyAlignment="0" applyProtection="0"/>
    <xf numFmtId="14" fontId="15" fillId="0" borderId="0" applyFon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2" fontId="15" fillId="0" borderId="0" applyFont="0" applyFill="0" applyBorder="0" applyAlignment="0" applyProtection="0"/>
    <xf numFmtId="0" fontId="54" fillId="4" borderId="0" applyNumberFormat="0" applyBorder="0" applyAlignment="0" applyProtection="0"/>
    <xf numFmtId="0" fontId="54" fillId="4" borderId="0" applyNumberFormat="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55" fillId="0" borderId="5" applyNumberFormat="0" applyFill="0" applyAlignment="0" applyProtection="0"/>
    <xf numFmtId="0" fontId="55" fillId="0" borderId="5" applyNumberFormat="0" applyFill="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6"/>
    <xf numFmtId="0" fontId="57" fillId="0" borderId="0"/>
    <xf numFmtId="0" fontId="58" fillId="7" borderId="3" applyNumberFormat="0" applyAlignment="0" applyProtection="0"/>
    <xf numFmtId="0" fontId="58" fillId="7" borderId="3" applyNumberFormat="0" applyAlignment="0" applyProtection="0"/>
    <xf numFmtId="0" fontId="59" fillId="0" borderId="7" applyNumberFormat="0" applyFill="0" applyAlignment="0" applyProtection="0"/>
    <xf numFmtId="0" fontId="59" fillId="0" borderId="7" applyNumberFormat="0" applyFill="0" applyAlignment="0" applyProtection="0"/>
    <xf numFmtId="0" fontId="60" fillId="22" borderId="0" applyNumberFormat="0" applyBorder="0" applyAlignment="0" applyProtection="0"/>
    <xf numFmtId="0" fontId="60" fillId="22" borderId="0" applyNumberFormat="0" applyBorder="0" applyAlignment="0" applyProtection="0"/>
    <xf numFmtId="3" fontId="126" fillId="0" borderId="0"/>
    <xf numFmtId="3" fontId="15" fillId="0" borderId="0"/>
    <xf numFmtId="3" fontId="15" fillId="0" borderId="0"/>
    <xf numFmtId="3" fontId="126" fillId="0" borderId="0"/>
    <xf numFmtId="0" fontId="15" fillId="0" borderId="0"/>
    <xf numFmtId="3" fontId="15" fillId="0" borderId="0"/>
    <xf numFmtId="3" fontId="126" fillId="0" borderId="0"/>
    <xf numFmtId="3" fontId="15" fillId="0" borderId="0"/>
    <xf numFmtId="0" fontId="163" fillId="0" borderId="0"/>
    <xf numFmtId="3" fontId="126" fillId="0" borderId="0"/>
    <xf numFmtId="3" fontId="15" fillId="0" borderId="0"/>
    <xf numFmtId="3" fontId="126" fillId="0" borderId="0"/>
    <xf numFmtId="3" fontId="15" fillId="0" borderId="0"/>
    <xf numFmtId="0" fontId="15" fillId="0" borderId="0"/>
    <xf numFmtId="3" fontId="126" fillId="0" borderId="0"/>
    <xf numFmtId="3" fontId="15" fillId="0" borderId="0"/>
    <xf numFmtId="3" fontId="126" fillId="0" borderId="0"/>
    <xf numFmtId="3" fontId="15" fillId="0" borderId="0"/>
    <xf numFmtId="3" fontId="126" fillId="0" borderId="0"/>
    <xf numFmtId="3" fontId="15" fillId="0" borderId="0"/>
    <xf numFmtId="3" fontId="127" fillId="0" borderId="0"/>
    <xf numFmtId="3" fontId="15" fillId="0" borderId="0"/>
    <xf numFmtId="0" fontId="15" fillId="0" borderId="0"/>
    <xf numFmtId="0" fontId="125" fillId="0" borderId="0"/>
    <xf numFmtId="0" fontId="164" fillId="0" borderId="0"/>
    <xf numFmtId="0" fontId="15" fillId="0" borderId="0"/>
    <xf numFmtId="0" fontId="15" fillId="0" borderId="0"/>
    <xf numFmtId="0" fontId="164" fillId="0" borderId="0"/>
    <xf numFmtId="0" fontId="149" fillId="0" borderId="0"/>
    <xf numFmtId="0" fontId="15" fillId="0" borderId="0"/>
    <xf numFmtId="0" fontId="15" fillId="0" borderId="0"/>
    <xf numFmtId="3" fontId="127" fillId="0" borderId="0"/>
    <xf numFmtId="3" fontId="15" fillId="0" borderId="0"/>
    <xf numFmtId="3" fontId="127" fillId="0" borderId="0"/>
    <xf numFmtId="3" fontId="15" fillId="0" borderId="0"/>
    <xf numFmtId="3" fontId="127" fillId="0" borderId="0"/>
    <xf numFmtId="3" fontId="15" fillId="0" borderId="0"/>
    <xf numFmtId="3" fontId="127" fillId="0" borderId="0"/>
    <xf numFmtId="3" fontId="15" fillId="0" borderId="0"/>
    <xf numFmtId="3" fontId="127" fillId="0" borderId="0"/>
    <xf numFmtId="3" fontId="15" fillId="0" borderId="0"/>
    <xf numFmtId="3" fontId="127" fillId="0" borderId="0"/>
    <xf numFmtId="3" fontId="15" fillId="0" borderId="0"/>
    <xf numFmtId="3" fontId="127" fillId="0" borderId="0"/>
    <xf numFmtId="3" fontId="15" fillId="0" borderId="0"/>
    <xf numFmtId="3" fontId="15" fillId="0" borderId="0"/>
    <xf numFmtId="3" fontId="133" fillId="0" borderId="0"/>
    <xf numFmtId="3" fontId="15" fillId="0" borderId="0"/>
    <xf numFmtId="3" fontId="133" fillId="0" borderId="0"/>
    <xf numFmtId="3" fontId="15" fillId="0" borderId="0"/>
    <xf numFmtId="0" fontId="15" fillId="0" borderId="0"/>
    <xf numFmtId="0" fontId="15" fillId="0" borderId="0"/>
    <xf numFmtId="3" fontId="15" fillId="0" borderId="0"/>
    <xf numFmtId="0" fontId="15" fillId="0" borderId="0"/>
    <xf numFmtId="3" fontId="15" fillId="0" borderId="0"/>
    <xf numFmtId="0" fontId="5" fillId="0" borderId="0"/>
    <xf numFmtId="0" fontId="149" fillId="0" borderId="0"/>
    <xf numFmtId="0" fontId="15" fillId="0" borderId="0"/>
    <xf numFmtId="0" fontId="126" fillId="0" borderId="0"/>
    <xf numFmtId="0" fontId="15" fillId="0" borderId="0"/>
    <xf numFmtId="0" fontId="15" fillId="0" borderId="0"/>
    <xf numFmtId="0" fontId="127" fillId="0" borderId="0"/>
    <xf numFmtId="0" fontId="15" fillId="0" borderId="0"/>
    <xf numFmtId="0" fontId="15" fillId="0" borderId="0"/>
    <xf numFmtId="0" fontId="15" fillId="0" borderId="0"/>
    <xf numFmtId="0" fontId="131" fillId="0" borderId="0"/>
    <xf numFmtId="0" fontId="15" fillId="0" borderId="0"/>
    <xf numFmtId="0" fontId="133" fillId="0" borderId="0"/>
    <xf numFmtId="0" fontId="15" fillId="0" borderId="0"/>
    <xf numFmtId="0" fontId="15" fillId="0" borderId="0"/>
    <xf numFmtId="0" fontId="149" fillId="0" borderId="0"/>
    <xf numFmtId="0" fontId="15" fillId="0" borderId="0"/>
    <xf numFmtId="3" fontId="119" fillId="0" borderId="0"/>
    <xf numFmtId="3" fontId="15" fillId="0" borderId="0"/>
    <xf numFmtId="0" fontId="15" fillId="0" borderId="0"/>
    <xf numFmtId="3" fontId="15" fillId="0" borderId="0"/>
    <xf numFmtId="0" fontId="15" fillId="0" borderId="0"/>
    <xf numFmtId="0" fontId="163" fillId="0" borderId="0"/>
    <xf numFmtId="0" fontId="126" fillId="0" borderId="0"/>
    <xf numFmtId="0" fontId="15" fillId="0" borderId="0"/>
    <xf numFmtId="0" fontId="15" fillId="0" borderId="0"/>
    <xf numFmtId="0" fontId="127" fillId="0" borderId="0"/>
    <xf numFmtId="0" fontId="15" fillId="0" borderId="0"/>
    <xf numFmtId="0" fontId="133" fillId="0" borderId="0"/>
    <xf numFmtId="0" fontId="15" fillId="0" borderId="0"/>
    <xf numFmtId="0" fontId="163" fillId="0" borderId="0"/>
    <xf numFmtId="0" fontId="15" fillId="0" borderId="0"/>
    <xf numFmtId="0" fontId="163" fillId="0" borderId="0"/>
    <xf numFmtId="0" fontId="15" fillId="0" borderId="0"/>
    <xf numFmtId="0" fontId="163" fillId="0" borderId="0"/>
    <xf numFmtId="0" fontId="15" fillId="0" borderId="0"/>
    <xf numFmtId="0" fontId="6" fillId="0" borderId="0" applyProtection="0"/>
    <xf numFmtId="0" fontId="5" fillId="0" borderId="0"/>
    <xf numFmtId="0" fontId="127" fillId="0" borderId="0"/>
    <xf numFmtId="0" fontId="15" fillId="0" borderId="0"/>
    <xf numFmtId="0" fontId="15" fillId="0" borderId="0"/>
    <xf numFmtId="0" fontId="131" fillId="0" borderId="0"/>
    <xf numFmtId="172" fontId="6" fillId="0" borderId="0" applyProtection="0"/>
    <xf numFmtId="0" fontId="5" fillId="0" borderId="0"/>
    <xf numFmtId="0" fontId="5" fillId="0" borderId="0"/>
    <xf numFmtId="0" fontId="15" fillId="0" borderId="0"/>
    <xf numFmtId="172" fontId="6" fillId="0" borderId="0" applyProtection="0"/>
    <xf numFmtId="0" fontId="73" fillId="0" borderId="0"/>
    <xf numFmtId="0" fontId="6" fillId="0" borderId="0"/>
    <xf numFmtId="0" fontId="15" fillId="0" borderId="0"/>
    <xf numFmtId="0" fontId="5" fillId="0" borderId="0"/>
    <xf numFmtId="0" fontId="6" fillId="23" borderId="8" applyNumberFormat="0" applyFont="0" applyAlignment="0" applyProtection="0"/>
    <xf numFmtId="0" fontId="6" fillId="23" borderId="8" applyNumberFormat="0" applyFont="0" applyAlignment="0" applyProtection="0"/>
    <xf numFmtId="0" fontId="61" fillId="20" borderId="9" applyNumberFormat="0" applyAlignment="0" applyProtection="0"/>
    <xf numFmtId="0" fontId="61" fillId="20" borderId="9" applyNumberFormat="0" applyAlignment="0" applyProtection="0"/>
    <xf numFmtId="9" fontId="5" fillId="0" borderId="0" applyFont="0" applyFill="0" applyBorder="0" applyAlignment="0" applyProtection="0"/>
    <xf numFmtId="9" fontId="149"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 fillId="0" borderId="0" applyFont="0" applyFill="0" applyBorder="0" applyAlignment="0" applyProtection="0"/>
    <xf numFmtId="9" fontId="15" fillId="0" borderId="0" applyFont="0" applyFill="0" applyBorder="0" applyAlignment="0" applyProtection="0"/>
    <xf numFmtId="9" fontId="126"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27"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3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5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31" fillId="0" borderId="0" applyFont="0" applyFill="0" applyBorder="0" applyAlignment="0" applyProtection="0"/>
    <xf numFmtId="9" fontId="15" fillId="0" borderId="0" applyFont="0" applyFill="0" applyBorder="0" applyAlignment="0" applyProtection="0"/>
    <xf numFmtId="9" fontId="151" fillId="0" borderId="0" applyFont="0" applyFill="0" applyBorder="0" applyAlignment="0" applyProtection="0"/>
    <xf numFmtId="9" fontId="13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9" fillId="0" borderId="0" applyFont="0" applyFill="0" applyBorder="0" applyAlignment="0" applyProtection="0"/>
    <xf numFmtId="0" fontId="36" fillId="0" borderId="0" applyNumberFormat="0" applyFont="0" applyFill="0" applyBorder="0" applyAlignment="0" applyProtection="0">
      <alignment horizontal="left"/>
    </xf>
    <xf numFmtId="15" fontId="36" fillId="0" borderId="0" applyFont="0" applyFill="0" applyBorder="0" applyAlignment="0" applyProtection="0"/>
    <xf numFmtId="4" fontId="36" fillId="0" borderId="0" applyFont="0" applyFill="0" applyBorder="0" applyAlignment="0" applyProtection="0"/>
    <xf numFmtId="3" fontId="15" fillId="0" borderId="0">
      <alignment horizontal="left" vertical="top"/>
    </xf>
    <xf numFmtId="0" fontId="37" fillId="0" borderId="6">
      <alignment horizontal="center"/>
    </xf>
    <xf numFmtId="3" fontId="36" fillId="0" borderId="0" applyFont="0" applyFill="0" applyBorder="0" applyAlignment="0" applyProtection="0"/>
    <xf numFmtId="0" fontId="36" fillId="24" borderId="0" applyNumberFormat="0" applyFont="0" applyBorder="0" applyAlignment="0" applyProtection="0"/>
    <xf numFmtId="3" fontId="15" fillId="0" borderId="0">
      <alignment horizontal="right" vertical="top"/>
    </xf>
    <xf numFmtId="41" fontId="8" fillId="25" borderId="10" applyFill="0"/>
    <xf numFmtId="0" fontId="62" fillId="0" borderId="0">
      <alignment horizontal="left" indent="7"/>
    </xf>
    <xf numFmtId="41" fontId="8" fillId="0" borderId="10" applyFill="0">
      <alignment horizontal="left" indent="2"/>
    </xf>
    <xf numFmtId="172" fontId="28" fillId="0" borderId="11" applyFill="0">
      <alignment horizontal="right"/>
    </xf>
    <xf numFmtId="0" fontId="12" fillId="0" borderId="12" applyNumberFormat="0" applyFont="0" applyBorder="0">
      <alignment horizontal="right"/>
    </xf>
    <xf numFmtId="0" fontId="63" fillId="0" borderId="0" applyFill="0"/>
    <xf numFmtId="0" fontId="9" fillId="0" borderId="0" applyFill="0"/>
    <xf numFmtId="4" fontId="28" fillId="0" borderId="11" applyFill="0"/>
    <xf numFmtId="0" fontId="15" fillId="0" borderId="0" applyNumberFormat="0" applyFont="0" applyBorder="0" applyAlignment="0"/>
    <xf numFmtId="0" fontId="45" fillId="0" borderId="0" applyFill="0">
      <alignment horizontal="left" indent="1"/>
    </xf>
    <xf numFmtId="0" fontId="64" fillId="0" borderId="0" applyFill="0">
      <alignment horizontal="left" indent="1"/>
    </xf>
    <xf numFmtId="4" fontId="27" fillId="0" borderId="0" applyFill="0"/>
    <xf numFmtId="0" fontId="15" fillId="0" borderId="0" applyNumberFormat="0" applyFont="0" applyFill="0" applyBorder="0" applyAlignment="0"/>
    <xf numFmtId="0" fontId="45" fillId="0" borderId="0" applyFill="0">
      <alignment horizontal="left" indent="2"/>
    </xf>
    <xf numFmtId="0" fontId="9" fillId="0" borderId="0" applyFill="0">
      <alignment horizontal="left" indent="2"/>
    </xf>
    <xf numFmtId="4" fontId="27" fillId="0" borderId="0" applyFill="0"/>
    <xf numFmtId="0" fontId="15" fillId="0" borderId="0" applyNumberFormat="0" applyFont="0" applyBorder="0" applyAlignment="0"/>
    <xf numFmtId="0" fontId="65" fillId="0" borderId="0">
      <alignment horizontal="left" indent="3"/>
    </xf>
    <xf numFmtId="0" fontId="66" fillId="0" borderId="0" applyFill="0">
      <alignment horizontal="left" indent="3"/>
    </xf>
    <xf numFmtId="4" fontId="27" fillId="0" borderId="0" applyFill="0"/>
    <xf numFmtId="0" fontId="15" fillId="0" borderId="0" applyNumberFormat="0" applyFont="0" applyBorder="0" applyAlignment="0"/>
    <xf numFmtId="0" fontId="19" fillId="0" borderId="0">
      <alignment horizontal="left" indent="4"/>
    </xf>
    <xf numFmtId="0" fontId="15" fillId="0" borderId="0" applyFill="0">
      <alignment horizontal="left" indent="4"/>
    </xf>
    <xf numFmtId="4" fontId="46" fillId="0" borderId="0" applyFill="0"/>
    <xf numFmtId="0" fontId="15" fillId="0" borderId="0" applyNumberFormat="0" applyFont="0" applyBorder="0" applyAlignment="0"/>
    <xf numFmtId="0" fontId="47" fillId="0" borderId="0">
      <alignment horizontal="left" indent="5"/>
    </xf>
    <xf numFmtId="0" fontId="48" fillId="0" borderId="0" applyFill="0">
      <alignment horizontal="left" indent="5"/>
    </xf>
    <xf numFmtId="4" fontId="49" fillId="0" borderId="0" applyFill="0"/>
    <xf numFmtId="0" fontId="15" fillId="0" borderId="0" applyNumberFormat="0" applyFont="0" applyFill="0" applyBorder="0" applyAlignment="0"/>
    <xf numFmtId="0" fontId="50" fillId="0" borderId="0" applyFill="0">
      <alignment horizontal="left" indent="6"/>
    </xf>
    <xf numFmtId="0" fontId="46" fillId="0" borderId="0" applyFill="0">
      <alignment horizontal="left" indent="6"/>
    </xf>
    <xf numFmtId="0" fontId="67" fillId="0" borderId="0" applyNumberFormat="0" applyFill="0" applyBorder="0" applyAlignment="0" applyProtection="0"/>
    <xf numFmtId="0" fontId="67" fillId="0" borderId="0" applyNumberForma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15" fillId="0" borderId="0"/>
    <xf numFmtId="0" fontId="4" fillId="0" borderId="0"/>
    <xf numFmtId="9" fontId="165" fillId="0" borderId="0" applyFont="0" applyFill="0" applyBorder="0" applyAlignment="0" applyProtection="0"/>
    <xf numFmtId="172" fontId="165" fillId="0" borderId="0" applyProtection="0"/>
    <xf numFmtId="43" fontId="4" fillId="0" borderId="0" applyFont="0" applyFill="0" applyBorder="0" applyAlignment="0" applyProtection="0"/>
    <xf numFmtId="43" fontId="165" fillId="0" borderId="0" applyFont="0" applyFill="0" applyBorder="0" applyAlignment="0" applyProtection="0"/>
    <xf numFmtId="172" fontId="165" fillId="0" borderId="0" applyProtection="0"/>
    <xf numFmtId="44" fontId="168" fillId="0" borderId="0" applyFont="0" applyFill="0" applyBorder="0" applyAlignment="0" applyProtection="0"/>
    <xf numFmtId="42" fontId="168" fillId="0" borderId="0" applyFont="0" applyFill="0" applyBorder="0" applyAlignment="0" applyProtection="0"/>
    <xf numFmtId="41" fontId="168" fillId="0" borderId="0" applyFont="0" applyFill="0" applyBorder="0" applyAlignment="0" applyProtection="0"/>
    <xf numFmtId="0" fontId="3" fillId="0" borderId="0"/>
    <xf numFmtId="43" fontId="3" fillId="0" borderId="0" applyFont="0" applyFill="0" applyBorder="0" applyAlignment="0" applyProtection="0"/>
    <xf numFmtId="172" fontId="6" fillId="0" borderId="0" applyProtection="0"/>
    <xf numFmtId="172" fontId="6" fillId="0" borderId="0" applyProtection="0"/>
    <xf numFmtId="43" fontId="6" fillId="0" borderId="0" applyFont="0" applyFill="0" applyBorder="0" applyAlignment="0" applyProtection="0"/>
    <xf numFmtId="9" fontId="6" fillId="0" borderId="0" applyFont="0" applyFill="0" applyBorder="0" applyAlignment="0" applyProtection="0"/>
    <xf numFmtId="172" fontId="7" fillId="0" borderId="53" applyFill="0"/>
    <xf numFmtId="0" fontId="5" fillId="0" borderId="0" applyFont="0" applyAlignment="0"/>
    <xf numFmtId="172" fontId="9" fillId="0" borderId="58" applyFill="0"/>
    <xf numFmtId="0" fontId="5" fillId="0" borderId="0" applyNumberFormat="0" applyFont="0" applyAlignment="0"/>
    <xf numFmtId="172" fontId="5" fillId="0" borderId="0" applyFill="0"/>
    <xf numFmtId="0" fontId="5" fillId="0" borderId="0" applyFill="0">
      <alignment horizontal="center" vertical="center" wrapText="1"/>
    </xf>
    <xf numFmtId="0" fontId="51" fillId="20" borderId="59" applyNumberFormat="0" applyAlignment="0" applyProtection="0"/>
    <xf numFmtId="0" fontId="51" fillId="20" borderId="59" applyNumberFormat="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5" fontId="5" fillId="0" borderId="0" applyFont="0" applyFill="0" applyBorder="0" applyAlignment="0" applyProtection="0"/>
    <xf numFmtId="14" fontId="5" fillId="0" borderId="0" applyFont="0" applyFill="0" applyBorder="0" applyAlignment="0" applyProtection="0"/>
    <xf numFmtId="2" fontId="5" fillId="0" borderId="0" applyFont="0" applyFill="0" applyBorder="0" applyAlignment="0" applyProtection="0"/>
    <xf numFmtId="0" fontId="58" fillId="7" borderId="59" applyNumberFormat="0" applyAlignment="0" applyProtection="0"/>
    <xf numFmtId="0" fontId="58" fillId="7" borderId="59" applyNumberFormat="0" applyAlignment="0" applyProtection="0"/>
    <xf numFmtId="3" fontId="5" fillId="0" borderId="0"/>
    <xf numFmtId="3" fontId="5" fillId="0" borderId="0"/>
    <xf numFmtId="3" fontId="5" fillId="0" borderId="0"/>
    <xf numFmtId="3" fontId="5" fillId="0" borderId="0"/>
    <xf numFmtId="0" fontId="5" fillId="0" borderId="0"/>
    <xf numFmtId="3" fontId="5" fillId="0" borderId="0"/>
    <xf numFmtId="3" fontId="5" fillId="0" borderId="0"/>
    <xf numFmtId="3" fontId="5" fillId="0" borderId="0"/>
    <xf numFmtId="0" fontId="2" fillId="0" borderId="0"/>
    <xf numFmtId="3" fontId="5" fillId="0" borderId="0"/>
    <xf numFmtId="3" fontId="5" fillId="0" borderId="0"/>
    <xf numFmtId="3" fontId="5" fillId="0" borderId="0"/>
    <xf numFmtId="3" fontId="5" fillId="0" borderId="0"/>
    <xf numFmtId="0" fontId="5" fillId="0" borderId="0"/>
    <xf numFmtId="3" fontId="5" fillId="0" borderId="0"/>
    <xf numFmtId="3" fontId="5" fillId="0" borderId="0"/>
    <xf numFmtId="3" fontId="5" fillId="0" borderId="0"/>
    <xf numFmtId="3" fontId="5" fillId="0" borderId="0"/>
    <xf numFmtId="3" fontId="5" fillId="0" borderId="0"/>
    <xf numFmtId="3" fontId="5" fillId="0" borderId="0"/>
    <xf numFmtId="3" fontId="5" fillId="0" borderId="0"/>
    <xf numFmtId="3" fontId="5" fillId="0" borderId="0"/>
    <xf numFmtId="0" fontId="5" fillId="0" borderId="0"/>
    <xf numFmtId="0" fontId="5" fillId="0" borderId="0"/>
    <xf numFmtId="0" fontId="5" fillId="0" borderId="0"/>
    <xf numFmtId="0" fontId="5" fillId="0" borderId="0"/>
    <xf numFmtId="0" fontId="5" fillId="0" borderId="0"/>
    <xf numFmtId="0" fontId="5" fillId="0" borderId="0"/>
    <xf numFmtId="3" fontId="5" fillId="0" borderId="0"/>
    <xf numFmtId="3" fontId="5" fillId="0" borderId="0"/>
    <xf numFmtId="3" fontId="5" fillId="0" borderId="0"/>
    <xf numFmtId="3" fontId="5" fillId="0" borderId="0"/>
    <xf numFmtId="3" fontId="5" fillId="0" borderId="0"/>
    <xf numFmtId="3" fontId="5" fillId="0" borderId="0"/>
    <xf numFmtId="3" fontId="5" fillId="0" borderId="0"/>
    <xf numFmtId="3" fontId="5" fillId="0" borderId="0"/>
    <xf numFmtId="3" fontId="5" fillId="0" borderId="0"/>
    <xf numFmtId="3" fontId="5" fillId="0" borderId="0"/>
    <xf numFmtId="3" fontId="5" fillId="0" borderId="0"/>
    <xf numFmtId="3" fontId="5" fillId="0" borderId="0"/>
    <xf numFmtId="3" fontId="5" fillId="0" borderId="0"/>
    <xf numFmtId="3" fontId="5" fillId="0" borderId="0"/>
    <xf numFmtId="3" fontId="5" fillId="0" borderId="0"/>
    <xf numFmtId="3" fontId="5" fillId="0" borderId="0"/>
    <xf numFmtId="3" fontId="5" fillId="0" borderId="0"/>
    <xf numFmtId="3" fontId="5" fillId="0" borderId="0"/>
    <xf numFmtId="3" fontId="5" fillId="0" borderId="0"/>
    <xf numFmtId="0" fontId="5" fillId="0" borderId="0"/>
    <xf numFmtId="0" fontId="5" fillId="0" borderId="0"/>
    <xf numFmtId="3"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3" fontId="5" fillId="0" borderId="0"/>
    <xf numFmtId="3" fontId="5" fillId="0" borderId="0"/>
    <xf numFmtId="0" fontId="5" fillId="0" borderId="0"/>
    <xf numFmtId="3" fontId="5" fillId="0" borderId="0"/>
    <xf numFmtId="0" fontId="5"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6" fillId="23" borderId="60" applyNumberFormat="0" applyFont="0" applyAlignment="0" applyProtection="0"/>
    <xf numFmtId="0" fontId="6" fillId="23" borderId="60" applyNumberFormat="0" applyFont="0" applyAlignment="0" applyProtection="0"/>
    <xf numFmtId="0" fontId="61" fillId="20" borderId="61" applyNumberFormat="0" applyAlignment="0" applyProtection="0"/>
    <xf numFmtId="0" fontId="61" fillId="20" borderId="61" applyNumberForma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3" fontId="5" fillId="0" borderId="0">
      <alignment horizontal="left" vertical="top"/>
    </xf>
    <xf numFmtId="3" fontId="5" fillId="0" borderId="0">
      <alignment horizontal="right" vertical="top"/>
    </xf>
    <xf numFmtId="0" fontId="12" fillId="0" borderId="62" applyNumberFormat="0" applyFont="0" applyBorder="0">
      <alignment horizontal="right"/>
    </xf>
    <xf numFmtId="0" fontId="5" fillId="0" borderId="0" applyNumberFormat="0" applyFont="0" applyBorder="0" applyAlignment="0"/>
    <xf numFmtId="0" fontId="5" fillId="0" borderId="0" applyNumberFormat="0" applyFont="0" applyFill="0" applyBorder="0" applyAlignment="0"/>
    <xf numFmtId="0" fontId="5" fillId="0" borderId="0" applyNumberFormat="0" applyFont="0" applyBorder="0" applyAlignment="0"/>
    <xf numFmtId="0" fontId="5" fillId="0" borderId="0" applyNumberFormat="0" applyFont="0" applyBorder="0" applyAlignment="0"/>
    <xf numFmtId="0" fontId="5" fillId="0" borderId="0" applyFill="0">
      <alignment horizontal="left" indent="4"/>
    </xf>
    <xf numFmtId="0" fontId="5" fillId="0" borderId="0" applyNumberFormat="0" applyFont="0" applyBorder="0" applyAlignment="0"/>
    <xf numFmtId="0" fontId="5" fillId="0" borderId="0" applyNumberFormat="0" applyFont="0" applyFill="0" applyBorder="0" applyAlignment="0"/>
    <xf numFmtId="0" fontId="5" fillId="0" borderId="0" applyFont="0" applyFill="0" applyBorder="0" applyAlignment="0" applyProtection="0"/>
    <xf numFmtId="0" fontId="5" fillId="0" borderId="0" applyFont="0" applyFill="0" applyBorder="0" applyAlignment="0" applyProtection="0"/>
    <xf numFmtId="43" fontId="5" fillId="0" borderId="0" applyFont="0" applyFill="0" applyBorder="0" applyAlignment="0" applyProtection="0"/>
    <xf numFmtId="0" fontId="5" fillId="0" borderId="0" applyFont="0" applyAlignment="0"/>
    <xf numFmtId="0" fontId="5" fillId="0" borderId="0" applyNumberFormat="0" applyFont="0" applyAlignment="0"/>
    <xf numFmtId="172" fontId="5" fillId="0" borderId="0" applyFill="0"/>
    <xf numFmtId="0" fontId="5" fillId="0" borderId="0" applyFill="0">
      <alignment horizontal="center" vertical="center" wrapText="1"/>
    </xf>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5" fontId="5" fillId="0" borderId="0" applyFont="0" applyFill="0" applyBorder="0" applyAlignment="0" applyProtection="0"/>
    <xf numFmtId="14" fontId="5" fillId="0" borderId="0" applyFont="0" applyFill="0" applyBorder="0" applyAlignment="0" applyProtection="0"/>
    <xf numFmtId="2" fontId="5" fillId="0" borderId="0" applyFont="0" applyFill="0" applyBorder="0" applyAlignment="0" applyProtection="0"/>
    <xf numFmtId="3" fontId="5" fillId="0" borderId="0"/>
    <xf numFmtId="3" fontId="5" fillId="0" borderId="0"/>
    <xf numFmtId="3" fontId="5" fillId="0" borderId="0"/>
    <xf numFmtId="3" fontId="5" fillId="0" borderId="0"/>
    <xf numFmtId="0" fontId="5" fillId="0" borderId="0"/>
    <xf numFmtId="3" fontId="5" fillId="0" borderId="0"/>
    <xf numFmtId="3" fontId="5" fillId="0" borderId="0"/>
    <xf numFmtId="3" fontId="5" fillId="0" borderId="0"/>
    <xf numFmtId="0" fontId="2" fillId="0" borderId="0"/>
    <xf numFmtId="3" fontId="5" fillId="0" borderId="0"/>
    <xf numFmtId="3" fontId="5" fillId="0" borderId="0"/>
    <xf numFmtId="3" fontId="5" fillId="0" borderId="0"/>
    <xf numFmtId="3" fontId="5" fillId="0" borderId="0"/>
    <xf numFmtId="0" fontId="5" fillId="0" borderId="0"/>
    <xf numFmtId="3" fontId="5" fillId="0" borderId="0"/>
    <xf numFmtId="3" fontId="5" fillId="0" borderId="0"/>
    <xf numFmtId="3" fontId="5" fillId="0" borderId="0"/>
    <xf numFmtId="3" fontId="5" fillId="0" borderId="0"/>
    <xf numFmtId="3" fontId="5" fillId="0" borderId="0"/>
    <xf numFmtId="3" fontId="5" fillId="0" borderId="0"/>
    <xf numFmtId="3" fontId="5" fillId="0" borderId="0"/>
    <xf numFmtId="3" fontId="5" fillId="0" borderId="0"/>
    <xf numFmtId="0" fontId="5" fillId="0" borderId="0"/>
    <xf numFmtId="0" fontId="5" fillId="0" borderId="0"/>
    <xf numFmtId="0" fontId="5" fillId="0" borderId="0"/>
    <xf numFmtId="0" fontId="5" fillId="0" borderId="0"/>
    <xf numFmtId="0" fontId="5" fillId="0" borderId="0"/>
    <xf numFmtId="0" fontId="5" fillId="0" borderId="0"/>
    <xf numFmtId="3" fontId="5" fillId="0" borderId="0"/>
    <xf numFmtId="3" fontId="5" fillId="0" borderId="0"/>
    <xf numFmtId="3" fontId="5" fillId="0" borderId="0"/>
    <xf numFmtId="3" fontId="5" fillId="0" borderId="0"/>
    <xf numFmtId="3" fontId="5" fillId="0" borderId="0"/>
    <xf numFmtId="3" fontId="5" fillId="0" borderId="0"/>
    <xf numFmtId="3" fontId="5" fillId="0" borderId="0"/>
    <xf numFmtId="3" fontId="5" fillId="0" borderId="0"/>
    <xf numFmtId="3" fontId="5" fillId="0" borderId="0"/>
    <xf numFmtId="3" fontId="5" fillId="0" borderId="0"/>
    <xf numFmtId="3" fontId="5" fillId="0" borderId="0"/>
    <xf numFmtId="3" fontId="5" fillId="0" borderId="0"/>
    <xf numFmtId="3" fontId="5" fillId="0" borderId="0"/>
    <xf numFmtId="3" fontId="5" fillId="0" borderId="0"/>
    <xf numFmtId="3" fontId="5" fillId="0" borderId="0"/>
    <xf numFmtId="3" fontId="5" fillId="0" borderId="0"/>
    <xf numFmtId="3" fontId="5" fillId="0" borderId="0"/>
    <xf numFmtId="3" fontId="5" fillId="0" borderId="0"/>
    <xf numFmtId="3" fontId="5" fillId="0" borderId="0"/>
    <xf numFmtId="0" fontId="5" fillId="0" borderId="0"/>
    <xf numFmtId="0" fontId="5" fillId="0" borderId="0"/>
    <xf numFmtId="3"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3" fontId="5" fillId="0" borderId="0"/>
    <xf numFmtId="3" fontId="5" fillId="0" borderId="0"/>
    <xf numFmtId="0" fontId="5" fillId="0" borderId="0"/>
    <xf numFmtId="3" fontId="5" fillId="0" borderId="0"/>
    <xf numFmtId="0" fontId="5"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3" fontId="5" fillId="0" borderId="0">
      <alignment horizontal="left" vertical="top"/>
    </xf>
    <xf numFmtId="3" fontId="5" fillId="0" borderId="0">
      <alignment horizontal="right" vertical="top"/>
    </xf>
    <xf numFmtId="0" fontId="5" fillId="0" borderId="0" applyNumberFormat="0" applyFont="0" applyBorder="0" applyAlignment="0"/>
    <xf numFmtId="0" fontId="5" fillId="0" borderId="0" applyNumberFormat="0" applyFont="0" applyFill="0" applyBorder="0" applyAlignment="0"/>
    <xf numFmtId="0" fontId="5" fillId="0" borderId="0" applyNumberFormat="0" applyFont="0" applyBorder="0" applyAlignment="0"/>
    <xf numFmtId="0" fontId="5" fillId="0" borderId="0" applyNumberFormat="0" applyFont="0" applyBorder="0" applyAlignment="0"/>
    <xf numFmtId="0" fontId="5" fillId="0" borderId="0" applyFill="0">
      <alignment horizontal="left" indent="4"/>
    </xf>
    <xf numFmtId="0" fontId="5" fillId="0" borderId="0" applyNumberFormat="0" applyFont="0" applyBorder="0" applyAlignment="0"/>
    <xf numFmtId="0" fontId="5" fillId="0" borderId="0" applyNumberFormat="0" applyFont="0" applyFill="0" applyBorder="0" applyAlignment="0"/>
    <xf numFmtId="0" fontId="5" fillId="0" borderId="0" applyFont="0" applyFill="0" applyBorder="0" applyAlignment="0" applyProtection="0"/>
    <xf numFmtId="0" fontId="5" fillId="0" borderId="0" applyFont="0" applyFill="0" applyBorder="0" applyAlignment="0" applyProtection="0"/>
    <xf numFmtId="0" fontId="2" fillId="0" borderId="0"/>
    <xf numFmtId="0" fontId="2" fillId="0" borderId="0"/>
    <xf numFmtId="172" fontId="165" fillId="0" borderId="0" applyProtection="0"/>
    <xf numFmtId="43" fontId="2" fillId="0" borderId="0" applyFont="0" applyFill="0" applyBorder="0" applyAlignment="0" applyProtection="0"/>
    <xf numFmtId="0" fontId="2"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43" fontId="5" fillId="0" borderId="0" applyFont="0" applyFill="0" applyBorder="0" applyAlignment="0" applyProtection="0"/>
    <xf numFmtId="0" fontId="1" fillId="0" borderId="0"/>
    <xf numFmtId="3" fontId="5"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65" fillId="0" borderId="0" applyFont="0" applyFill="0" applyBorder="0" applyAlignment="0" applyProtection="0"/>
    <xf numFmtId="0" fontId="5" fillId="0" borderId="0"/>
  </cellStyleXfs>
  <cellXfs count="1349">
    <xf numFmtId="0" fontId="0" fillId="0" borderId="0" xfId="0"/>
    <xf numFmtId="0" fontId="0" fillId="0" borderId="0" xfId="0" applyAlignment="1">
      <alignment horizontal="center"/>
    </xf>
    <xf numFmtId="0" fontId="8" fillId="0" borderId="0" xfId="0" applyFont="1"/>
    <xf numFmtId="3" fontId="8" fillId="0" borderId="0" xfId="0" applyNumberFormat="1" applyFont="1" applyAlignment="1">
      <alignment horizontal="center"/>
    </xf>
    <xf numFmtId="0" fontId="15" fillId="0" borderId="0" xfId="0" applyFont="1"/>
    <xf numFmtId="0" fontId="12" fillId="0" borderId="0" xfId="263" applyFont="1" applyAlignment="1">
      <alignment horizontal="center"/>
    </xf>
    <xf numFmtId="0" fontId="18" fillId="0" borderId="0" xfId="263" applyFont="1"/>
    <xf numFmtId="9" fontId="12" fillId="0" borderId="0" xfId="263" quotePrefix="1" applyNumberFormat="1" applyFont="1" applyAlignment="1">
      <alignment horizontal="center"/>
    </xf>
    <xf numFmtId="0" fontId="20" fillId="0" borderId="0" xfId="263" applyFont="1" applyAlignment="1">
      <alignment horizontal="right"/>
    </xf>
    <xf numFmtId="0" fontId="20" fillId="0" borderId="0" xfId="263" applyFont="1" applyAlignment="1">
      <alignment horizontal="center"/>
    </xf>
    <xf numFmtId="9" fontId="12" fillId="0" borderId="0" xfId="263" applyNumberFormat="1" applyFont="1" applyAlignment="1">
      <alignment horizontal="center"/>
    </xf>
    <xf numFmtId="0" fontId="21" fillId="0" borderId="0" xfId="0" applyFont="1" applyAlignment="1">
      <alignment horizontal="right"/>
    </xf>
    <xf numFmtId="0" fontId="0" fillId="0" borderId="0" xfId="0" applyAlignment="1">
      <alignment wrapText="1"/>
    </xf>
    <xf numFmtId="0" fontId="7" fillId="0" borderId="0" xfId="0" applyFont="1"/>
    <xf numFmtId="0" fontId="21" fillId="0" borderId="0" xfId="0" applyFont="1"/>
    <xf numFmtId="0" fontId="15" fillId="0" borderId="0" xfId="263" applyFont="1"/>
    <xf numFmtId="41" fontId="15" fillId="0" borderId="0" xfId="263" applyNumberFormat="1" applyFont="1"/>
    <xf numFmtId="0" fontId="18" fillId="0" borderId="0" xfId="263" applyFont="1" applyAlignment="1">
      <alignment horizontal="left"/>
    </xf>
    <xf numFmtId="3" fontId="15" fillId="0" borderId="0" xfId="0" applyNumberFormat="1" applyFont="1"/>
    <xf numFmtId="0" fontId="8" fillId="0" borderId="0" xfId="263" applyFont="1" applyAlignment="1">
      <alignment horizontal="right"/>
    </xf>
    <xf numFmtId="40" fontId="15" fillId="0" borderId="0" xfId="0" applyNumberFormat="1" applyFont="1"/>
    <xf numFmtId="0" fontId="8" fillId="0" borderId="0" xfId="263" applyFont="1"/>
    <xf numFmtId="0" fontId="12" fillId="0" borderId="0" xfId="263" applyFont="1" applyAlignment="1">
      <alignment horizontal="left"/>
    </xf>
    <xf numFmtId="0" fontId="12" fillId="0" borderId="0" xfId="263" applyFont="1"/>
    <xf numFmtId="0" fontId="15" fillId="0" borderId="0" xfId="263" applyFont="1" applyAlignment="1">
      <alignment horizontal="left"/>
    </xf>
    <xf numFmtId="0" fontId="9" fillId="0" borderId="0" xfId="263" applyFont="1" applyAlignment="1">
      <alignment horizontal="center"/>
    </xf>
    <xf numFmtId="37" fontId="8" fillId="0" borderId="0" xfId="0" applyNumberFormat="1" applyFont="1"/>
    <xf numFmtId="0" fontId="29" fillId="0" borderId="0" xfId="0" applyFont="1"/>
    <xf numFmtId="0" fontId="8" fillId="0" borderId="0" xfId="0" applyFont="1" applyAlignment="1">
      <alignment horizontal="center"/>
    </xf>
    <xf numFmtId="37" fontId="8" fillId="0" borderId="0" xfId="0" applyNumberFormat="1" applyFont="1" applyAlignment="1">
      <alignment horizontal="center"/>
    </xf>
    <xf numFmtId="10" fontId="8" fillId="0" borderId="0" xfId="0" applyNumberFormat="1" applyFont="1"/>
    <xf numFmtId="175" fontId="8" fillId="0" borderId="0" xfId="0" applyNumberFormat="1" applyFont="1"/>
    <xf numFmtId="3" fontId="22" fillId="0" borderId="0" xfId="0" applyNumberFormat="1" applyFont="1"/>
    <xf numFmtId="41" fontId="30" fillId="0" borderId="0" xfId="263" applyNumberFormat="1" applyFont="1"/>
    <xf numFmtId="0" fontId="31" fillId="0" borderId="0" xfId="263" applyFont="1" applyAlignment="1">
      <alignment horizontal="left"/>
    </xf>
    <xf numFmtId="0" fontId="29" fillId="0" borderId="0" xfId="263" applyFont="1"/>
    <xf numFmtId="41" fontId="29" fillId="0" borderId="0" xfId="263" applyNumberFormat="1" applyFont="1"/>
    <xf numFmtId="0" fontId="29" fillId="0" borderId="0" xfId="263" applyFont="1" applyAlignment="1">
      <alignment horizontal="left"/>
    </xf>
    <xf numFmtId="0" fontId="32" fillId="0" borderId="0" xfId="263" applyFont="1"/>
    <xf numFmtId="0" fontId="29" fillId="0" borderId="0" xfId="263" applyFont="1" applyAlignment="1">
      <alignment horizontal="center"/>
    </xf>
    <xf numFmtId="0" fontId="13" fillId="0" borderId="0" xfId="263" applyFont="1" applyAlignment="1">
      <alignment horizontal="center"/>
    </xf>
    <xf numFmtId="173" fontId="29" fillId="0" borderId="0" xfId="263" applyNumberFormat="1" applyFont="1"/>
    <xf numFmtId="173" fontId="29" fillId="0" borderId="0" xfId="263" applyNumberFormat="1" applyFont="1" applyAlignment="1">
      <alignment vertical="top"/>
    </xf>
    <xf numFmtId="41" fontId="29" fillId="0" borderId="13" xfId="263" applyNumberFormat="1" applyFont="1" applyBorder="1"/>
    <xf numFmtId="173" fontId="9" fillId="0" borderId="0" xfId="86" applyNumberFormat="1" applyFont="1" applyFill="1" applyAlignment="1">
      <alignment horizontal="center"/>
    </xf>
    <xf numFmtId="0" fontId="8" fillId="0" borderId="0" xfId="263" applyFont="1" applyAlignment="1">
      <alignment horizontal="center"/>
    </xf>
    <xf numFmtId="0" fontId="33" fillId="0" borderId="0" xfId="263" applyFont="1"/>
    <xf numFmtId="41" fontId="8" fillId="0" borderId="13" xfId="263" applyNumberFormat="1" applyFont="1" applyBorder="1"/>
    <xf numFmtId="38" fontId="15" fillId="0" borderId="0" xfId="0" applyNumberFormat="1" applyFont="1"/>
    <xf numFmtId="43" fontId="8" fillId="0" borderId="0" xfId="263" applyNumberFormat="1" applyFont="1"/>
    <xf numFmtId="3" fontId="8" fillId="0" borderId="0" xfId="0" applyNumberFormat="1" applyFont="1"/>
    <xf numFmtId="41" fontId="30" fillId="25" borderId="0" xfId="263" applyNumberFormat="1" applyFont="1" applyFill="1"/>
    <xf numFmtId="0" fontId="10" fillId="0" borderId="0" xfId="222" applyFont="1" applyAlignment="1">
      <alignment horizontal="left"/>
    </xf>
    <xf numFmtId="0" fontId="15" fillId="0" borderId="0" xfId="222"/>
    <xf numFmtId="0" fontId="15" fillId="0" borderId="0" xfId="222" applyAlignment="1">
      <alignment horizontal="center"/>
    </xf>
    <xf numFmtId="0" fontId="15" fillId="0" borderId="0" xfId="222" applyAlignment="1">
      <alignment horizontal="left"/>
    </xf>
    <xf numFmtId="0" fontId="12" fillId="0" borderId="0" xfId="222" applyFont="1" applyAlignment="1">
      <alignment horizontal="left"/>
    </xf>
    <xf numFmtId="0" fontId="15" fillId="0" borderId="0" xfId="222" applyAlignment="1">
      <alignment horizontal="center" wrapText="1"/>
    </xf>
    <xf numFmtId="3" fontId="15" fillId="0" borderId="0" xfId="222" applyNumberFormat="1"/>
    <xf numFmtId="173" fontId="15" fillId="0" borderId="0" xfId="90" applyNumberFormat="1" applyFont="1" applyFill="1" applyBorder="1" applyAlignment="1">
      <alignment horizontal="right"/>
    </xf>
    <xf numFmtId="0" fontId="11" fillId="0" borderId="0" xfId="222" applyFont="1"/>
    <xf numFmtId="0" fontId="12" fillId="0" borderId="0" xfId="222" applyFont="1"/>
    <xf numFmtId="0" fontId="12" fillId="0" borderId="0" xfId="222" applyFont="1" applyAlignment="1">
      <alignment horizontal="center"/>
    </xf>
    <xf numFmtId="164" fontId="15" fillId="0" borderId="0" xfId="284" applyNumberFormat="1" applyFont="1" applyFill="1" applyBorder="1" applyAlignment="1"/>
    <xf numFmtId="173" fontId="15" fillId="0" borderId="0" xfId="90" applyNumberFormat="1" applyFont="1" applyFill="1" applyBorder="1" applyAlignment="1">
      <alignment horizontal="left"/>
    </xf>
    <xf numFmtId="3" fontId="15" fillId="0" borderId="0" xfId="222" applyNumberFormat="1" applyAlignment="1">
      <alignment horizontal="right"/>
    </xf>
    <xf numFmtId="3" fontId="15" fillId="0" borderId="0" xfId="222" applyNumberFormat="1" applyAlignment="1">
      <alignment horizontal="center"/>
    </xf>
    <xf numFmtId="0" fontId="0" fillId="0" borderId="0" xfId="0" applyAlignment="1">
      <alignment horizontal="center" wrapText="1"/>
    </xf>
    <xf numFmtId="0" fontId="35" fillId="0" borderId="0" xfId="0" applyFont="1"/>
    <xf numFmtId="0" fontId="22" fillId="0" borderId="0" xfId="263" applyFont="1"/>
    <xf numFmtId="0" fontId="20" fillId="0" borderId="0" xfId="222" applyFont="1" applyAlignment="1">
      <alignment horizontal="left"/>
    </xf>
    <xf numFmtId="173" fontId="15" fillId="0" borderId="14" xfId="90" applyNumberFormat="1" applyFont="1" applyFill="1" applyBorder="1" applyAlignment="1">
      <alignment horizontal="right"/>
    </xf>
    <xf numFmtId="0" fontId="15" fillId="0" borderId="0" xfId="263" applyFont="1" applyAlignment="1">
      <alignment horizontal="center"/>
    </xf>
    <xf numFmtId="0" fontId="8" fillId="0" borderId="0" xfId="222" applyFont="1" applyAlignment="1">
      <alignment horizontal="center"/>
    </xf>
    <xf numFmtId="49" fontId="8" fillId="0" borderId="0" xfId="263" applyNumberFormat="1" applyFont="1" applyAlignment="1">
      <alignment horizontal="center"/>
    </xf>
    <xf numFmtId="0" fontId="0" fillId="0" borderId="0" xfId="0" applyAlignment="1">
      <alignment horizontal="right"/>
    </xf>
    <xf numFmtId="3" fontId="13" fillId="0" borderId="0" xfId="0" applyNumberFormat="1" applyFont="1" applyAlignment="1">
      <alignment horizontal="center"/>
    </xf>
    <xf numFmtId="173" fontId="5" fillId="0" borderId="0" xfId="86" applyNumberFormat="1"/>
    <xf numFmtId="0" fontId="15" fillId="0" borderId="0" xfId="0" applyFont="1" applyAlignment="1">
      <alignment horizontal="center"/>
    </xf>
    <xf numFmtId="173" fontId="15" fillId="0" borderId="0" xfId="86" applyNumberFormat="1" applyFont="1"/>
    <xf numFmtId="10" fontId="15" fillId="0" borderId="0" xfId="0" applyNumberFormat="1" applyFont="1"/>
    <xf numFmtId="173" fontId="5" fillId="0" borderId="0" xfId="86" applyNumberFormat="1" applyFill="1"/>
    <xf numFmtId="10" fontId="0" fillId="0" borderId="0" xfId="0" applyNumberFormat="1"/>
    <xf numFmtId="183" fontId="21" fillId="0" borderId="0" xfId="273" applyNumberFormat="1" applyFont="1"/>
    <xf numFmtId="0" fontId="74" fillId="0" borderId="0" xfId="273" applyFont="1"/>
    <xf numFmtId="183" fontId="21" fillId="0" borderId="0" xfId="273" applyNumberFormat="1" applyFont="1" applyAlignment="1">
      <alignment horizontal="center"/>
    </xf>
    <xf numFmtId="0" fontId="15" fillId="0" borderId="0" xfId="273" applyFont="1"/>
    <xf numFmtId="0" fontId="21" fillId="0" borderId="0" xfId="273" applyFont="1"/>
    <xf numFmtId="0" fontId="21" fillId="0" borderId="0" xfId="273" applyFont="1" applyAlignment="1">
      <alignment horizontal="center"/>
    </xf>
    <xf numFmtId="183" fontId="75" fillId="0" borderId="0" xfId="273" applyNumberFormat="1" applyFont="1"/>
    <xf numFmtId="0" fontId="76" fillId="0" borderId="0" xfId="273" applyFont="1"/>
    <xf numFmtId="173" fontId="74" fillId="0" borderId="0" xfId="273" applyNumberFormat="1" applyFont="1"/>
    <xf numFmtId="0" fontId="77" fillId="0" borderId="0" xfId="273" applyFont="1"/>
    <xf numFmtId="183" fontId="15" fillId="0" borderId="0" xfId="273" applyNumberFormat="1" applyFont="1"/>
    <xf numFmtId="0" fontId="78" fillId="0" borderId="0" xfId="269" applyFont="1" applyAlignment="1">
      <alignment horizontal="center"/>
    </xf>
    <xf numFmtId="0" fontId="78" fillId="0" borderId="0" xfId="269" applyFont="1" applyAlignment="1">
      <alignment horizontal="left" indent="2"/>
    </xf>
    <xf numFmtId="39" fontId="78" fillId="0" borderId="0" xfId="269" applyNumberFormat="1" applyFont="1"/>
    <xf numFmtId="0" fontId="15" fillId="0" borderId="0" xfId="273" applyFont="1" applyAlignment="1">
      <alignment horizontal="center"/>
    </xf>
    <xf numFmtId="183" fontId="8" fillId="0" borderId="0" xfId="273" applyNumberFormat="1" applyFont="1"/>
    <xf numFmtId="43" fontId="8" fillId="0" borderId="0" xfId="86" applyFont="1"/>
    <xf numFmtId="173" fontId="8" fillId="0" borderId="0" xfId="86" applyNumberFormat="1" applyFont="1"/>
    <xf numFmtId="173" fontId="74" fillId="0" borderId="14" xfId="86" applyNumberFormat="1" applyFont="1" applyBorder="1"/>
    <xf numFmtId="0" fontId="74" fillId="0" borderId="0" xfId="0" applyFont="1"/>
    <xf numFmtId="10" fontId="8" fillId="0" borderId="14" xfId="0" applyNumberFormat="1" applyFont="1" applyBorder="1"/>
    <xf numFmtId="173" fontId="0" fillId="0" borderId="0" xfId="86" applyNumberFormat="1" applyFont="1" applyFill="1"/>
    <xf numFmtId="173" fontId="0" fillId="0" borderId="0" xfId="0" applyNumberFormat="1"/>
    <xf numFmtId="173" fontId="15" fillId="0" borderId="0" xfId="86" applyNumberFormat="1" applyFont="1" applyFill="1"/>
    <xf numFmtId="0" fontId="12" fillId="0" borderId="0" xfId="263" applyFont="1" applyAlignment="1">
      <alignment horizontal="center" wrapText="1"/>
    </xf>
    <xf numFmtId="38" fontId="15" fillId="0" borderId="0" xfId="0" applyNumberFormat="1" applyFont="1" applyAlignment="1">
      <alignment horizontal="center"/>
    </xf>
    <xf numFmtId="0" fontId="5" fillId="0" borderId="0" xfId="263" applyAlignment="1">
      <alignment horizontal="left"/>
    </xf>
    <xf numFmtId="0" fontId="81" fillId="0" borderId="0" xfId="263" applyFont="1" applyAlignment="1">
      <alignment horizontal="left"/>
    </xf>
    <xf numFmtId="0" fontId="5" fillId="0" borderId="0" xfId="263"/>
    <xf numFmtId="0" fontId="81" fillId="0" borderId="0" xfId="263" applyFont="1"/>
    <xf numFmtId="0" fontId="72" fillId="0" borderId="0" xfId="263" applyFont="1" applyAlignment="1">
      <alignment horizontal="center"/>
    </xf>
    <xf numFmtId="38" fontId="15" fillId="0" borderId="15" xfId="0" applyNumberFormat="1" applyFont="1" applyBorder="1"/>
    <xf numFmtId="0" fontId="82" fillId="0" borderId="0" xfId="222" applyFont="1" applyAlignment="1">
      <alignment horizontal="left"/>
    </xf>
    <xf numFmtId="38" fontId="15" fillId="0" borderId="0" xfId="222" applyNumberFormat="1" applyAlignment="1">
      <alignment horizontal="right"/>
    </xf>
    <xf numFmtId="0" fontId="15" fillId="0" borderId="0" xfId="222" applyAlignment="1">
      <alignment horizontal="right"/>
    </xf>
    <xf numFmtId="38" fontId="15" fillId="0" borderId="0" xfId="0" applyNumberFormat="1" applyFont="1" applyAlignment="1">
      <alignment horizontal="right"/>
    </xf>
    <xf numFmtId="0" fontId="7" fillId="0" borderId="0" xfId="0" applyFont="1" applyAlignment="1">
      <alignment horizontal="center"/>
    </xf>
    <xf numFmtId="0" fontId="7" fillId="0" borderId="0" xfId="222" applyFont="1" applyAlignment="1">
      <alignment horizontal="center"/>
    </xf>
    <xf numFmtId="38" fontId="11" fillId="0" borderId="0" xfId="222" applyNumberFormat="1" applyFont="1"/>
    <xf numFmtId="173" fontId="11" fillId="0" borderId="14" xfId="86" applyNumberFormat="1" applyFont="1" applyFill="1" applyBorder="1" applyAlignment="1"/>
    <xf numFmtId="0" fontId="15" fillId="0" borderId="14" xfId="222" applyBorder="1" applyAlignment="1">
      <alignment horizontal="left"/>
    </xf>
    <xf numFmtId="173" fontId="74" fillId="0" borderId="0" xfId="86" applyNumberFormat="1" applyFont="1" applyFill="1"/>
    <xf numFmtId="3" fontId="7" fillId="0" borderId="0" xfId="0" applyNumberFormat="1" applyFont="1" applyAlignment="1">
      <alignment horizontal="center"/>
    </xf>
    <xf numFmtId="10" fontId="15" fillId="0" borderId="0" xfId="281" applyNumberFormat="1" applyFont="1" applyAlignment="1">
      <alignment horizontal="right"/>
    </xf>
    <xf numFmtId="0" fontId="12" fillId="0" borderId="0" xfId="0" applyFont="1" applyAlignment="1">
      <alignment horizontal="center" wrapText="1"/>
    </xf>
    <xf numFmtId="0" fontId="12" fillId="0" borderId="0" xfId="0" applyFont="1" applyAlignment="1">
      <alignment wrapText="1"/>
    </xf>
    <xf numFmtId="10" fontId="11" fillId="0" borderId="0" xfId="281" applyNumberFormat="1" applyFont="1"/>
    <xf numFmtId="174" fontId="5" fillId="0" borderId="0" xfId="123" applyNumberFormat="1"/>
    <xf numFmtId="0" fontId="7" fillId="0" borderId="0" xfId="0" applyFont="1" applyAlignment="1">
      <alignment horizontal="right"/>
    </xf>
    <xf numFmtId="0" fontId="15" fillId="0" borderId="0" xfId="0" applyFont="1" applyAlignment="1">
      <alignment horizontal="centerContinuous"/>
    </xf>
    <xf numFmtId="0" fontId="20" fillId="0" borderId="0" xfId="0" applyFont="1" applyAlignment="1">
      <alignment horizontal="center"/>
    </xf>
    <xf numFmtId="0" fontId="12" fillId="0" borderId="0" xfId="0" applyFont="1" applyAlignment="1">
      <alignment horizontal="center"/>
    </xf>
    <xf numFmtId="170" fontId="0" fillId="0" borderId="0" xfId="0" applyNumberFormat="1" applyAlignment="1">
      <alignment horizontal="right"/>
    </xf>
    <xf numFmtId="0" fontId="0" fillId="0" borderId="0" xfId="0" applyAlignment="1">
      <alignment horizontal="left"/>
    </xf>
    <xf numFmtId="6" fontId="0" fillId="0" borderId="0" xfId="0" applyNumberFormat="1" applyAlignment="1">
      <alignment horizontal="right"/>
    </xf>
    <xf numFmtId="6" fontId="0" fillId="0" borderId="0" xfId="0" applyNumberFormat="1"/>
    <xf numFmtId="0" fontId="20" fillId="0" borderId="0" xfId="0" applyFont="1" applyAlignment="1">
      <alignment horizontal="left"/>
    </xf>
    <xf numFmtId="0" fontId="7" fillId="0" borderId="0" xfId="0" applyFont="1" applyAlignment="1">
      <alignment horizontal="left"/>
    </xf>
    <xf numFmtId="0" fontId="20" fillId="0" borderId="0" xfId="0" applyFont="1" applyAlignment="1">
      <alignment horizontal="center" wrapText="1"/>
    </xf>
    <xf numFmtId="17" fontId="0" fillId="0" borderId="0" xfId="0" applyNumberFormat="1" applyAlignment="1">
      <alignment horizontal="center"/>
    </xf>
    <xf numFmtId="173" fontId="0" fillId="0" borderId="0" xfId="86" applyNumberFormat="1" applyFont="1"/>
    <xf numFmtId="173" fontId="15" fillId="0" borderId="0" xfId="222" applyNumberFormat="1"/>
    <xf numFmtId="0" fontId="15" fillId="25" borderId="0" xfId="222" applyFill="1" applyAlignment="1">
      <alignment horizontal="center"/>
    </xf>
    <xf numFmtId="0" fontId="12" fillId="25" borderId="0" xfId="222" applyFont="1" applyFill="1" applyAlignment="1">
      <alignment horizontal="left"/>
    </xf>
    <xf numFmtId="0" fontId="11" fillId="25" borderId="0" xfId="222" applyFont="1" applyFill="1"/>
    <xf numFmtId="0" fontId="15" fillId="25" borderId="0" xfId="222" applyFill="1" applyAlignment="1">
      <alignment horizontal="left"/>
    </xf>
    <xf numFmtId="0" fontId="15" fillId="25" borderId="0" xfId="222" applyFill="1"/>
    <xf numFmtId="173" fontId="15" fillId="25" borderId="0" xfId="90" applyNumberFormat="1" applyFont="1" applyFill="1" applyBorder="1" applyAlignment="1">
      <alignment horizontal="right"/>
    </xf>
    <xf numFmtId="0" fontId="0" fillId="25" borderId="0" xfId="0" applyFill="1"/>
    <xf numFmtId="164" fontId="15" fillId="25" borderId="0" xfId="284" applyNumberFormat="1" applyFont="1" applyFill="1" applyBorder="1" applyAlignment="1"/>
    <xf numFmtId="173" fontId="15" fillId="25" borderId="0" xfId="90" applyNumberFormat="1" applyFont="1" applyFill="1" applyBorder="1" applyAlignment="1">
      <alignment horizontal="left"/>
    </xf>
    <xf numFmtId="0" fontId="16" fillId="0" borderId="0" xfId="0" applyFont="1"/>
    <xf numFmtId="0" fontId="20" fillId="0" borderId="0" xfId="222" applyFont="1" applyAlignment="1">
      <alignment horizontal="center"/>
    </xf>
    <xf numFmtId="0" fontId="16" fillId="0" borderId="0" xfId="222" applyFont="1" applyAlignment="1">
      <alignment horizontal="left"/>
    </xf>
    <xf numFmtId="173" fontId="16" fillId="0" borderId="0" xfId="90" applyNumberFormat="1" applyFont="1" applyFill="1" applyBorder="1" applyAlignment="1">
      <alignment horizontal="right"/>
    </xf>
    <xf numFmtId="0" fontId="17" fillId="0" borderId="0" xfId="263" applyFont="1"/>
    <xf numFmtId="0" fontId="84" fillId="0" borderId="0" xfId="263" applyFont="1"/>
    <xf numFmtId="9" fontId="13" fillId="0" borderId="0" xfId="263" quotePrefix="1" applyNumberFormat="1" applyFont="1" applyAlignment="1">
      <alignment horizontal="center"/>
    </xf>
    <xf numFmtId="0" fontId="7" fillId="0" borderId="0" xfId="273" applyFont="1" applyAlignment="1">
      <alignment horizontal="center"/>
    </xf>
    <xf numFmtId="0" fontId="7" fillId="0" borderId="0" xfId="273" applyFont="1"/>
    <xf numFmtId="183" fontId="7" fillId="0" borderId="0" xfId="273" applyNumberFormat="1" applyFont="1" applyAlignment="1">
      <alignment horizontal="center"/>
    </xf>
    <xf numFmtId="0" fontId="12" fillId="0" borderId="0" xfId="273" applyFont="1"/>
    <xf numFmtId="0" fontId="7" fillId="0" borderId="11" xfId="273" applyFont="1" applyBorder="1" applyAlignment="1">
      <alignment horizontal="center"/>
    </xf>
    <xf numFmtId="183" fontId="7" fillId="0" borderId="11" xfId="273" applyNumberFormat="1" applyFont="1" applyBorder="1" applyAlignment="1">
      <alignment horizontal="center"/>
    </xf>
    <xf numFmtId="0" fontId="77" fillId="0" borderId="11" xfId="273" applyFont="1" applyBorder="1" applyAlignment="1">
      <alignment horizontal="center"/>
    </xf>
    <xf numFmtId="0" fontId="12" fillId="0" borderId="0" xfId="273" applyFont="1" applyAlignment="1">
      <alignment horizontal="center"/>
    </xf>
    <xf numFmtId="6" fontId="15" fillId="0" borderId="0" xfId="0" applyNumberFormat="1" applyFont="1" applyAlignment="1">
      <alignment horizontal="right"/>
    </xf>
    <xf numFmtId="174" fontId="0" fillId="0" borderId="0" xfId="123" applyNumberFormat="1" applyFont="1" applyAlignment="1">
      <alignment horizontal="center"/>
    </xf>
    <xf numFmtId="0" fontId="12" fillId="0" borderId="0" xfId="0" applyFont="1" applyAlignment="1">
      <alignment horizontal="left"/>
    </xf>
    <xf numFmtId="6" fontId="12" fillId="0" borderId="0" xfId="0" applyNumberFormat="1" applyFont="1" applyAlignment="1">
      <alignment horizontal="right"/>
    </xf>
    <xf numFmtId="173" fontId="85" fillId="0" borderId="0" xfId="86" applyNumberFormat="1" applyFont="1" applyFill="1"/>
    <xf numFmtId="0" fontId="89" fillId="0" borderId="0" xfId="0" applyFont="1" applyAlignment="1">
      <alignment horizontal="center"/>
    </xf>
    <xf numFmtId="0" fontId="88" fillId="0" borderId="0" xfId="263" applyFont="1" applyAlignment="1">
      <alignment horizontal="center"/>
    </xf>
    <xf numFmtId="0" fontId="8" fillId="0" borderId="0" xfId="273" applyFont="1"/>
    <xf numFmtId="173" fontId="8" fillId="0" borderId="0" xfId="273" applyNumberFormat="1" applyFont="1"/>
    <xf numFmtId="164" fontId="0" fillId="0" borderId="0" xfId="281" applyNumberFormat="1" applyFont="1"/>
    <xf numFmtId="173" fontId="92" fillId="0" borderId="0" xfId="273" applyNumberFormat="1" applyFont="1"/>
    <xf numFmtId="0" fontId="26" fillId="0" borderId="0" xfId="263" applyFont="1" applyAlignment="1">
      <alignment horizontal="center"/>
    </xf>
    <xf numFmtId="37" fontId="15" fillId="0" borderId="15" xfId="0" applyNumberFormat="1" applyFont="1" applyBorder="1"/>
    <xf numFmtId="37" fontId="15" fillId="0" borderId="0" xfId="222" applyNumberFormat="1" applyAlignment="1">
      <alignment horizontal="right"/>
    </xf>
    <xf numFmtId="37" fontId="11" fillId="0" borderId="0" xfId="222" applyNumberFormat="1" applyFont="1"/>
    <xf numFmtId="0" fontId="95" fillId="0" borderId="0" xfId="263" applyFont="1"/>
    <xf numFmtId="0" fontId="15" fillId="0" borderId="0" xfId="0" applyFont="1" applyAlignment="1">
      <alignment horizontal="center" wrapText="1"/>
    </xf>
    <xf numFmtId="0" fontId="35" fillId="0" borderId="0" xfId="0" applyFont="1" applyAlignment="1">
      <alignment wrapText="1"/>
    </xf>
    <xf numFmtId="0" fontId="35" fillId="0" borderId="0" xfId="0" applyFont="1" applyAlignment="1">
      <alignment horizontal="center" wrapText="1"/>
    </xf>
    <xf numFmtId="173" fontId="0" fillId="0" borderId="14" xfId="0" applyNumberFormat="1" applyBorder="1"/>
    <xf numFmtId="9" fontId="0" fillId="0" borderId="0" xfId="281" applyFont="1"/>
    <xf numFmtId="0" fontId="97" fillId="0" borderId="0" xfId="0" applyFont="1" applyAlignment="1">
      <alignment horizontal="center" wrapText="1"/>
    </xf>
    <xf numFmtId="0" fontId="21" fillId="0" borderId="0" xfId="269" applyFont="1" applyAlignment="1">
      <alignment horizontal="center"/>
    </xf>
    <xf numFmtId="0" fontId="35" fillId="0" borderId="0" xfId="263" applyFont="1" applyAlignment="1">
      <alignment horizontal="left"/>
    </xf>
    <xf numFmtId="0" fontId="35" fillId="0" borderId="0" xfId="263" applyFont="1"/>
    <xf numFmtId="0" fontId="99" fillId="0" borderId="0" xfId="263" applyFont="1" applyAlignment="1">
      <alignment horizontal="center"/>
    </xf>
    <xf numFmtId="0" fontId="100" fillId="0" borderId="0" xfId="263" applyFont="1"/>
    <xf numFmtId="187" fontId="101" fillId="0" borderId="0" xfId="222" applyNumberFormat="1" applyFont="1" applyAlignment="1">
      <alignment horizontal="center"/>
    </xf>
    <xf numFmtId="38" fontId="0" fillId="0" borderId="0" xfId="0" applyNumberFormat="1"/>
    <xf numFmtId="0" fontId="5" fillId="0" borderId="0" xfId="0" applyFont="1"/>
    <xf numFmtId="3" fontId="16" fillId="0" borderId="0" xfId="222" applyNumberFormat="1" applyFont="1" applyAlignment="1">
      <alignment horizontal="center"/>
    </xf>
    <xf numFmtId="43" fontId="8" fillId="0" borderId="0" xfId="86" applyFont="1" applyAlignment="1">
      <alignment horizontal="center"/>
    </xf>
    <xf numFmtId="43" fontId="8" fillId="0" borderId="0" xfId="86" applyFont="1" applyBorder="1" applyAlignment="1">
      <alignment horizontal="center"/>
    </xf>
    <xf numFmtId="43" fontId="7" fillId="0" borderId="0" xfId="86" applyFont="1" applyBorder="1" applyAlignment="1">
      <alignment horizontal="center"/>
    </xf>
    <xf numFmtId="43" fontId="7" fillId="0" borderId="0" xfId="86" applyFont="1" applyAlignment="1">
      <alignment horizontal="center"/>
    </xf>
    <xf numFmtId="43" fontId="18" fillId="0" borderId="0" xfId="86" applyFont="1"/>
    <xf numFmtId="0" fontId="7" fillId="0" borderId="11" xfId="273" applyFont="1" applyBorder="1"/>
    <xf numFmtId="0" fontId="74" fillId="0" borderId="0" xfId="273" applyFont="1" applyAlignment="1">
      <alignment horizontal="center"/>
    </xf>
    <xf numFmtId="173" fontId="80" fillId="0" borderId="0" xfId="273" applyNumberFormat="1" applyFont="1"/>
    <xf numFmtId="3" fontId="80" fillId="0" borderId="0" xfId="273" applyNumberFormat="1" applyFont="1"/>
    <xf numFmtId="0" fontId="25" fillId="0" borderId="0" xfId="263" applyFont="1"/>
    <xf numFmtId="38" fontId="29" fillId="0" borderId="13" xfId="263" applyNumberFormat="1" applyFont="1" applyBorder="1" applyAlignment="1">
      <alignment horizontal="right"/>
    </xf>
    <xf numFmtId="0" fontId="35" fillId="0" borderId="0" xfId="263" applyFont="1" applyAlignment="1">
      <alignment horizontal="center"/>
    </xf>
    <xf numFmtId="0" fontId="78" fillId="0" borderId="0" xfId="273" applyFont="1"/>
    <xf numFmtId="10" fontId="6" fillId="0" borderId="0" xfId="274" applyNumberFormat="1"/>
    <xf numFmtId="10" fontId="6" fillId="0" borderId="16" xfId="274" applyNumberFormat="1" applyBorder="1"/>
    <xf numFmtId="191" fontId="6" fillId="0" borderId="16" xfId="274" applyNumberFormat="1" applyBorder="1"/>
    <xf numFmtId="175" fontId="6" fillId="0" borderId="16" xfId="274" applyNumberFormat="1" applyBorder="1"/>
    <xf numFmtId="190" fontId="6" fillId="0" borderId="16" xfId="274" applyNumberFormat="1" applyBorder="1"/>
    <xf numFmtId="193" fontId="6" fillId="0" borderId="0" xfId="274" applyNumberFormat="1"/>
    <xf numFmtId="175" fontId="6" fillId="0" borderId="0" xfId="274" applyNumberFormat="1"/>
    <xf numFmtId="190" fontId="6" fillId="0" borderId="0" xfId="274" applyNumberFormat="1"/>
    <xf numFmtId="10" fontId="114" fillId="0" borderId="0" xfId="274" applyNumberFormat="1" applyFont="1"/>
    <xf numFmtId="173" fontId="117" fillId="0" borderId="0" xfId="0" applyNumberFormat="1" applyFont="1"/>
    <xf numFmtId="0" fontId="104" fillId="0" borderId="0" xfId="222" applyFont="1" applyAlignment="1">
      <alignment horizontal="center"/>
    </xf>
    <xf numFmtId="0" fontId="97" fillId="0" borderId="0" xfId="222" applyFont="1" applyAlignment="1">
      <alignment horizontal="left"/>
    </xf>
    <xf numFmtId="0" fontId="35" fillId="0" borderId="0" xfId="222" applyFont="1" applyAlignment="1">
      <alignment horizontal="center"/>
    </xf>
    <xf numFmtId="0" fontId="35" fillId="0" borderId="0" xfId="222" applyFont="1" applyAlignment="1">
      <alignment horizontal="left"/>
    </xf>
    <xf numFmtId="0" fontId="35" fillId="0" borderId="0" xfId="222" applyFont="1"/>
    <xf numFmtId="3" fontId="35" fillId="0" borderId="0" xfId="222" applyNumberFormat="1" applyFont="1"/>
    <xf numFmtId="0" fontId="104" fillId="0" borderId="0" xfId="222" applyFont="1"/>
    <xf numFmtId="0" fontId="116" fillId="0" borderId="0" xfId="263" applyFont="1" applyAlignment="1">
      <alignment horizontal="center"/>
    </xf>
    <xf numFmtId="0" fontId="97" fillId="0" borderId="0" xfId="0" applyFont="1" applyAlignment="1">
      <alignment horizontal="center"/>
    </xf>
    <xf numFmtId="41" fontId="0" fillId="0" borderId="0" xfId="0" applyNumberFormat="1"/>
    <xf numFmtId="37" fontId="118" fillId="0" borderId="13" xfId="0" applyNumberFormat="1" applyFont="1" applyBorder="1"/>
    <xf numFmtId="0" fontId="29" fillId="0" borderId="0" xfId="0" applyFont="1" applyAlignment="1">
      <alignment horizontal="left"/>
    </xf>
    <xf numFmtId="41" fontId="29" fillId="0" borderId="11" xfId="263" applyNumberFormat="1" applyFont="1" applyBorder="1"/>
    <xf numFmtId="3" fontId="22" fillId="26" borderId="0" xfId="0" applyNumberFormat="1" applyFont="1" applyFill="1"/>
    <xf numFmtId="173" fontId="80" fillId="26" borderId="0" xfId="273" applyNumberFormat="1" applyFont="1" applyFill="1"/>
    <xf numFmtId="0" fontId="74" fillId="26" borderId="0" xfId="273" applyFont="1" applyFill="1" applyAlignment="1">
      <alignment horizontal="center"/>
    </xf>
    <xf numFmtId="174" fontId="0" fillId="0" borderId="0" xfId="123" applyNumberFormat="1" applyFont="1"/>
    <xf numFmtId="3" fontId="35" fillId="26" borderId="0" xfId="222" applyNumberFormat="1" applyFont="1" applyFill="1"/>
    <xf numFmtId="0" fontId="8" fillId="26" borderId="0" xfId="0" applyFont="1" applyFill="1"/>
    <xf numFmtId="174" fontId="0" fillId="0" borderId="0" xfId="0" applyNumberFormat="1"/>
    <xf numFmtId="0" fontId="74" fillId="26" borderId="0" xfId="273" applyFont="1" applyFill="1"/>
    <xf numFmtId="191" fontId="6" fillId="0" borderId="0" xfId="274" applyNumberFormat="1"/>
    <xf numFmtId="172" fontId="6" fillId="0" borderId="0" xfId="272" applyProtection="1"/>
    <xf numFmtId="172" fontId="8" fillId="0" borderId="0" xfId="272" applyFont="1" applyProtection="1"/>
    <xf numFmtId="0" fontId="9" fillId="0" borderId="0" xfId="272" applyNumberFormat="1" applyFont="1" applyAlignment="1" applyProtection="1">
      <alignment horizontal="left"/>
    </xf>
    <xf numFmtId="14" fontId="9" fillId="0" borderId="0" xfId="272" applyNumberFormat="1" applyFont="1" applyProtection="1"/>
    <xf numFmtId="172" fontId="9" fillId="0" borderId="0" xfId="272" applyFont="1" applyProtection="1"/>
    <xf numFmtId="0" fontId="8" fillId="0" borderId="0" xfId="272" applyNumberFormat="1" applyFont="1" applyProtection="1"/>
    <xf numFmtId="0" fontId="8" fillId="0" borderId="0" xfId="272" applyNumberFormat="1" applyFont="1" applyAlignment="1" applyProtection="1">
      <alignment horizontal="right"/>
    </xf>
    <xf numFmtId="0" fontId="22" fillId="0" borderId="0" xfId="86" applyNumberFormat="1" applyFont="1" applyFill="1" applyAlignment="1" applyProtection="1"/>
    <xf numFmtId="3" fontId="8" fillId="0" borderId="0" xfId="272" applyNumberFormat="1" applyFont="1" applyProtection="1"/>
    <xf numFmtId="0" fontId="6" fillId="0" borderId="0" xfId="272" applyNumberFormat="1" applyAlignment="1" applyProtection="1">
      <alignment horizontal="center"/>
    </xf>
    <xf numFmtId="0" fontId="8" fillId="0" borderId="0" xfId="272" applyNumberFormat="1" applyFont="1" applyAlignment="1" applyProtection="1">
      <alignment horizontal="center"/>
    </xf>
    <xf numFmtId="49" fontId="8" fillId="0" borderId="0" xfId="272" applyNumberFormat="1" applyFont="1" applyAlignment="1" applyProtection="1">
      <alignment horizontal="center"/>
    </xf>
    <xf numFmtId="3" fontId="24" fillId="0" borderId="0" xfId="0" applyNumberFormat="1" applyFont="1" applyAlignment="1">
      <alignment horizontal="center"/>
    </xf>
    <xf numFmtId="49" fontId="8" fillId="0" borderId="0" xfId="272" applyNumberFormat="1" applyFont="1" applyProtection="1"/>
    <xf numFmtId="39" fontId="8" fillId="0" borderId="0" xfId="86" applyNumberFormat="1" applyFont="1" applyAlignment="1" applyProtection="1">
      <alignment horizontal="center"/>
    </xf>
    <xf numFmtId="0" fontId="6" fillId="0" borderId="6" xfId="272" applyNumberFormat="1" applyBorder="1" applyAlignment="1" applyProtection="1">
      <alignment horizontal="center"/>
    </xf>
    <xf numFmtId="0" fontId="8" fillId="0" borderId="6" xfId="272" applyNumberFormat="1" applyFont="1" applyBorder="1" applyAlignment="1" applyProtection="1">
      <alignment horizontal="center"/>
    </xf>
    <xf numFmtId="0" fontId="8" fillId="0" borderId="0" xfId="272" applyNumberFormat="1" applyFont="1" applyAlignment="1" applyProtection="1">
      <alignment horizontal="left"/>
    </xf>
    <xf numFmtId="170" fontId="8" fillId="0" borderId="0" xfId="272" applyNumberFormat="1" applyFont="1" applyProtection="1"/>
    <xf numFmtId="3" fontId="8" fillId="0" borderId="0" xfId="272" applyNumberFormat="1" applyFont="1" applyAlignment="1" applyProtection="1">
      <alignment horizontal="left"/>
    </xf>
    <xf numFmtId="0" fontId="8" fillId="0" borderId="6" xfId="272" applyNumberFormat="1" applyFont="1" applyBorder="1" applyAlignment="1" applyProtection="1">
      <alignment horizontal="centerContinuous"/>
    </xf>
    <xf numFmtId="41" fontId="8" fillId="0" borderId="0" xfId="272" applyNumberFormat="1" applyFont="1" applyProtection="1"/>
    <xf numFmtId="3" fontId="8" fillId="0" borderId="0" xfId="272" applyNumberFormat="1" applyFont="1" applyAlignment="1" applyProtection="1">
      <alignment horizontal="center"/>
    </xf>
    <xf numFmtId="165" fontId="8" fillId="0" borderId="0" xfId="272" applyNumberFormat="1" applyFont="1" applyAlignment="1" applyProtection="1">
      <alignment horizontal="right"/>
    </xf>
    <xf numFmtId="42" fontId="8" fillId="0" borderId="0" xfId="272" applyNumberFormat="1" applyFont="1" applyProtection="1"/>
    <xf numFmtId="172" fontId="8" fillId="0" borderId="11" xfId="272" applyFont="1" applyBorder="1" applyProtection="1"/>
    <xf numFmtId="0" fontId="8" fillId="0" borderId="0" xfId="0" applyFont="1" applyAlignment="1">
      <alignment wrapText="1"/>
    </xf>
    <xf numFmtId="174" fontId="8" fillId="0" borderId="14" xfId="272" applyNumberFormat="1" applyFont="1" applyBorder="1" applyProtection="1"/>
    <xf numFmtId="172" fontId="79" fillId="0" borderId="0" xfId="272" applyFont="1" applyAlignment="1" applyProtection="1">
      <alignment horizontal="center" wrapText="1"/>
    </xf>
    <xf numFmtId="43" fontId="8" fillId="0" borderId="0" xfId="86" applyFont="1" applyProtection="1"/>
    <xf numFmtId="171" fontId="8" fillId="0" borderId="0" xfId="272" applyNumberFormat="1" applyFont="1" applyProtection="1"/>
    <xf numFmtId="10" fontId="8" fillId="0" borderId="0" xfId="272" applyNumberFormat="1" applyFont="1" applyProtection="1"/>
    <xf numFmtId="10" fontId="8" fillId="0" borderId="0" xfId="281" applyNumberFormat="1" applyFont="1" applyAlignment="1" applyProtection="1"/>
    <xf numFmtId="184" fontId="8" fillId="0" borderId="0" xfId="272" applyNumberFormat="1" applyFont="1" applyProtection="1"/>
    <xf numFmtId="43" fontId="8" fillId="0" borderId="0" xfId="86" applyFont="1" applyAlignment="1" applyProtection="1"/>
    <xf numFmtId="41" fontId="8" fillId="0" borderId="0" xfId="272" applyNumberFormat="1" applyFont="1" applyAlignment="1" applyProtection="1">
      <alignment horizontal="center"/>
    </xf>
    <xf numFmtId="41" fontId="8" fillId="0" borderId="14" xfId="272" applyNumberFormat="1" applyFont="1" applyBorder="1" applyAlignment="1" applyProtection="1">
      <alignment horizontal="center"/>
    </xf>
    <xf numFmtId="41" fontId="8" fillId="0" borderId="0" xfId="272" applyNumberFormat="1" applyFont="1" applyAlignment="1" applyProtection="1">
      <alignment horizontal="right"/>
    </xf>
    <xf numFmtId="42" fontId="8" fillId="0" borderId="0" xfId="281" applyNumberFormat="1" applyFont="1" applyAlignment="1" applyProtection="1"/>
    <xf numFmtId="43" fontId="8" fillId="0" borderId="0" xfId="272" applyNumberFormat="1" applyFont="1" applyAlignment="1" applyProtection="1">
      <alignment horizontal="right"/>
    </xf>
    <xf numFmtId="172" fontId="8" fillId="0" borderId="0" xfId="272" applyFont="1" applyAlignment="1" applyProtection="1">
      <alignment horizontal="right"/>
    </xf>
    <xf numFmtId="0" fontId="35" fillId="0" borderId="0" xfId="0" applyFont="1" applyAlignment="1">
      <alignment horizontal="center"/>
    </xf>
    <xf numFmtId="49" fontId="8" fillId="0" borderId="0" xfId="272" applyNumberFormat="1" applyFont="1" applyAlignment="1" applyProtection="1">
      <alignment horizontal="left"/>
    </xf>
    <xf numFmtId="0" fontId="6" fillId="0" borderId="0" xfId="272" applyNumberFormat="1" applyAlignment="1" applyProtection="1">
      <alignment horizontal="center" vertical="center"/>
    </xf>
    <xf numFmtId="3" fontId="9" fillId="0" borderId="0" xfId="272" applyNumberFormat="1" applyFont="1" applyAlignment="1" applyProtection="1">
      <alignment horizontal="center"/>
    </xf>
    <xf numFmtId="172" fontId="9" fillId="0" borderId="0" xfId="272" applyFont="1" applyAlignment="1" applyProtection="1">
      <alignment horizontal="center"/>
    </xf>
    <xf numFmtId="49" fontId="9" fillId="0" borderId="0" xfId="272" applyNumberFormat="1" applyFont="1" applyAlignment="1" applyProtection="1">
      <alignment horizontal="center"/>
    </xf>
    <xf numFmtId="0" fontId="13" fillId="0" borderId="0" xfId="272" applyNumberFormat="1" applyFont="1" applyAlignment="1" applyProtection="1">
      <alignment horizontal="center"/>
    </xf>
    <xf numFmtId="172" fontId="13" fillId="0" borderId="0" xfId="272" applyFont="1" applyAlignment="1" applyProtection="1">
      <alignment horizontal="center"/>
    </xf>
    <xf numFmtId="3" fontId="9" fillId="0" borderId="0" xfId="272" applyNumberFormat="1" applyFont="1" applyProtection="1"/>
    <xf numFmtId="173" fontId="8" fillId="0" borderId="0" xfId="86" applyNumberFormat="1" applyFont="1" applyFill="1" applyAlignment="1" applyProtection="1"/>
    <xf numFmtId="0" fontId="8" fillId="0" borderId="0" xfId="272" applyNumberFormat="1" applyFont="1" applyAlignment="1" applyProtection="1">
      <alignment vertical="center"/>
    </xf>
    <xf numFmtId="3" fontId="8" fillId="0" borderId="0" xfId="272" applyNumberFormat="1" applyFont="1" applyAlignment="1" applyProtection="1">
      <alignment vertical="center" wrapText="1"/>
    </xf>
    <xf numFmtId="3" fontId="8" fillId="0" borderId="0" xfId="272" applyNumberFormat="1" applyFont="1" applyAlignment="1" applyProtection="1">
      <alignment horizontal="center" vertical="center"/>
    </xf>
    <xf numFmtId="3" fontId="8" fillId="0" borderId="0" xfId="272" applyNumberFormat="1" applyFont="1" applyAlignment="1" applyProtection="1">
      <alignment vertical="center"/>
    </xf>
    <xf numFmtId="41" fontId="8" fillId="0" borderId="0" xfId="272" applyNumberFormat="1" applyFont="1" applyAlignment="1" applyProtection="1">
      <alignment vertical="center"/>
    </xf>
    <xf numFmtId="41" fontId="8" fillId="0" borderId="6" xfId="272" applyNumberFormat="1" applyFont="1" applyBorder="1" applyProtection="1"/>
    <xf numFmtId="177" fontId="9" fillId="0" borderId="0" xfId="272" applyNumberFormat="1" applyFont="1" applyAlignment="1" applyProtection="1">
      <alignment horizontal="right"/>
    </xf>
    <xf numFmtId="180" fontId="9" fillId="0" borderId="0" xfId="86" applyNumberFormat="1" applyFont="1" applyFill="1" applyAlignment="1" applyProtection="1"/>
    <xf numFmtId="182" fontId="8" fillId="0" borderId="0" xfId="272" applyNumberFormat="1" applyFont="1" applyProtection="1"/>
    <xf numFmtId="181" fontId="8" fillId="0" borderId="0" xfId="272" applyNumberFormat="1" applyFont="1" applyProtection="1"/>
    <xf numFmtId="165" fontId="8" fillId="0" borderId="0" xfId="272" applyNumberFormat="1" applyFont="1" applyProtection="1"/>
    <xf numFmtId="0" fontId="8" fillId="0" borderId="0" xfId="272" applyNumberFormat="1" applyFont="1" applyAlignment="1" applyProtection="1">
      <alignment horizontal="center" vertical="center"/>
    </xf>
    <xf numFmtId="164" fontId="8" fillId="0" borderId="0" xfId="272" applyNumberFormat="1" applyFont="1" applyAlignment="1" applyProtection="1">
      <alignment horizontal="center"/>
    </xf>
    <xf numFmtId="176" fontId="8" fillId="0" borderId="0" xfId="86" applyNumberFormat="1" applyFont="1" applyFill="1" applyAlignment="1" applyProtection="1">
      <alignment horizontal="center"/>
    </xf>
    <xf numFmtId="3" fontId="9" fillId="0" borderId="0" xfId="272" applyNumberFormat="1" applyFont="1" applyAlignment="1" applyProtection="1">
      <alignment horizontal="right"/>
    </xf>
    <xf numFmtId="180" fontId="8" fillId="0" borderId="0" xfId="86" applyNumberFormat="1" applyFont="1" applyFill="1" applyAlignment="1" applyProtection="1"/>
    <xf numFmtId="164" fontId="8" fillId="0" borderId="0" xfId="272" applyNumberFormat="1" applyFont="1" applyAlignment="1" applyProtection="1">
      <alignment horizontal="left"/>
    </xf>
    <xf numFmtId="10" fontId="8" fillId="0" borderId="0" xfId="281" applyNumberFormat="1" applyFont="1" applyFill="1" applyAlignment="1" applyProtection="1"/>
    <xf numFmtId="41" fontId="8" fillId="0" borderId="0" xfId="272" applyNumberFormat="1" applyFont="1" applyAlignment="1" applyProtection="1">
      <alignment horizontal="center" vertical="center"/>
    </xf>
    <xf numFmtId="0" fontId="87" fillId="0" borderId="0" xfId="272" applyNumberFormat="1" applyFont="1" applyAlignment="1" applyProtection="1">
      <alignment horizontal="center"/>
    </xf>
    <xf numFmtId="3" fontId="8" fillId="0" borderId="0" xfId="272" applyNumberFormat="1" applyFont="1" applyAlignment="1" applyProtection="1">
      <alignment horizontal="right"/>
    </xf>
    <xf numFmtId="172" fontId="8" fillId="0" borderId="0" xfId="272" applyFont="1" applyAlignment="1" applyProtection="1">
      <alignment horizontal="center"/>
    </xf>
    <xf numFmtId="0" fontId="9" fillId="0" borderId="0" xfId="272" applyNumberFormat="1" applyFont="1" applyAlignment="1" applyProtection="1">
      <alignment horizontal="center"/>
    </xf>
    <xf numFmtId="3" fontId="13" fillId="0" borderId="0" xfId="272" applyNumberFormat="1" applyFont="1" applyAlignment="1" applyProtection="1">
      <alignment horizontal="center"/>
    </xf>
    <xf numFmtId="3" fontId="13" fillId="0" borderId="0" xfId="272" applyNumberFormat="1" applyFont="1" applyProtection="1"/>
    <xf numFmtId="43" fontId="15" fillId="0" borderId="0" xfId="86" applyFont="1" applyAlignment="1" applyProtection="1"/>
    <xf numFmtId="3" fontId="96" fillId="0" borderId="0" xfId="272" applyNumberFormat="1" applyFont="1" applyAlignment="1" applyProtection="1">
      <alignment horizontal="right"/>
    </xf>
    <xf numFmtId="41" fontId="96" fillId="0" borderId="0" xfId="272" applyNumberFormat="1" applyFont="1" applyAlignment="1" applyProtection="1">
      <alignment horizontal="right"/>
    </xf>
    <xf numFmtId="43" fontId="8" fillId="0" borderId="0" xfId="281" applyNumberFormat="1" applyFont="1" applyFill="1" applyAlignment="1" applyProtection="1"/>
    <xf numFmtId="166" fontId="8" fillId="0" borderId="0" xfId="272" applyNumberFormat="1" applyFont="1" applyProtection="1"/>
    <xf numFmtId="167" fontId="8" fillId="0" borderId="0" xfId="272" applyNumberFormat="1" applyFont="1" applyProtection="1"/>
    <xf numFmtId="172" fontId="26" fillId="0" borderId="0" xfId="272" applyFont="1" applyProtection="1"/>
    <xf numFmtId="168" fontId="8" fillId="0" borderId="0" xfId="272" applyNumberFormat="1" applyFont="1" applyProtection="1"/>
    <xf numFmtId="10" fontId="8" fillId="0" borderId="0" xfId="272" applyNumberFormat="1" applyFont="1" applyAlignment="1" applyProtection="1">
      <alignment horizontal="right"/>
    </xf>
    <xf numFmtId="10" fontId="35" fillId="0" borderId="0" xfId="281" applyNumberFormat="1" applyFont="1" applyProtection="1"/>
    <xf numFmtId="3" fontId="26" fillId="0" borderId="0" xfId="272" applyNumberFormat="1" applyFont="1" applyProtection="1"/>
    <xf numFmtId="166" fontId="8" fillId="0" borderId="0" xfId="272" applyNumberFormat="1" applyFont="1" applyAlignment="1" applyProtection="1">
      <alignment horizontal="center"/>
    </xf>
    <xf numFmtId="185" fontId="26" fillId="0" borderId="0" xfId="272" applyNumberFormat="1" applyFont="1" applyAlignment="1" applyProtection="1">
      <alignment horizontal="center"/>
    </xf>
    <xf numFmtId="186" fontId="8" fillId="0" borderId="0" xfId="272" applyNumberFormat="1" applyFont="1" applyProtection="1"/>
    <xf numFmtId="178" fontId="8" fillId="0" borderId="0" xfId="272" applyNumberFormat="1" applyFont="1" applyAlignment="1" applyProtection="1">
      <alignment horizontal="right"/>
    </xf>
    <xf numFmtId="184" fontId="8" fillId="0" borderId="0" xfId="86" applyNumberFormat="1" applyFont="1" applyAlignment="1" applyProtection="1">
      <alignment horizontal="center"/>
    </xf>
    <xf numFmtId="41" fontId="26" fillId="0" borderId="0" xfId="272" applyNumberFormat="1" applyFont="1" applyProtection="1"/>
    <xf numFmtId="43" fontId="26" fillId="0" borderId="0" xfId="86" applyFont="1" applyAlignment="1" applyProtection="1"/>
    <xf numFmtId="178" fontId="8" fillId="0" borderId="0" xfId="272" applyNumberFormat="1" applyFont="1" applyAlignment="1" applyProtection="1">
      <alignment horizontal="center"/>
    </xf>
    <xf numFmtId="10" fontId="8" fillId="0" borderId="0" xfId="272" applyNumberFormat="1" applyFont="1" applyAlignment="1" applyProtection="1">
      <alignment horizontal="left"/>
    </xf>
    <xf numFmtId="185" fontId="8" fillId="0" borderId="0" xfId="272" applyNumberFormat="1" applyFont="1" applyAlignment="1" applyProtection="1">
      <alignment horizontal="center"/>
    </xf>
    <xf numFmtId="168" fontId="8" fillId="0" borderId="0" xfId="272" applyNumberFormat="1" applyFont="1" applyAlignment="1" applyProtection="1">
      <alignment horizontal="left"/>
    </xf>
    <xf numFmtId="41" fontId="8" fillId="0" borderId="11" xfId="272" applyNumberFormat="1" applyFont="1" applyBorder="1" applyProtection="1"/>
    <xf numFmtId="178" fontId="8" fillId="0" borderId="0" xfId="272" applyNumberFormat="1" applyFont="1" applyProtection="1"/>
    <xf numFmtId="164" fontId="8" fillId="0" borderId="0" xfId="272" applyNumberFormat="1" applyFont="1" applyAlignment="1" applyProtection="1">
      <alignment horizontal="left" vertical="center"/>
    </xf>
    <xf numFmtId="179" fontId="8" fillId="0" borderId="0" xfId="272" applyNumberFormat="1" applyFont="1" applyProtection="1"/>
    <xf numFmtId="173" fontId="8" fillId="0" borderId="14" xfId="86" applyNumberFormat="1" applyFont="1" applyBorder="1" applyAlignment="1" applyProtection="1"/>
    <xf numFmtId="0" fontId="9" fillId="0" borderId="0" xfId="272" applyNumberFormat="1" applyFont="1" applyProtection="1"/>
    <xf numFmtId="0" fontId="8" fillId="0" borderId="0" xfId="0" applyFont="1" applyAlignment="1">
      <alignment horizontal="left"/>
    </xf>
    <xf numFmtId="173" fontId="8" fillId="0" borderId="6" xfId="86" applyNumberFormat="1" applyFont="1" applyBorder="1" applyAlignment="1" applyProtection="1"/>
    <xf numFmtId="165" fontId="9" fillId="0" borderId="0" xfId="272" applyNumberFormat="1" applyFont="1" applyAlignment="1" applyProtection="1">
      <alignment horizontal="right"/>
    </xf>
    <xf numFmtId="3" fontId="8" fillId="0" borderId="0" xfId="272" applyNumberFormat="1" applyFont="1" applyAlignment="1" applyProtection="1">
      <alignment horizontal="center" wrapText="1"/>
    </xf>
    <xf numFmtId="4" fontId="8" fillId="0" borderId="0" xfId="272" applyNumberFormat="1" applyFont="1" applyProtection="1"/>
    <xf numFmtId="173" fontId="8" fillId="0" borderId="6" xfId="86" applyNumberFormat="1" applyFont="1" applyFill="1" applyBorder="1" applyAlignment="1" applyProtection="1"/>
    <xf numFmtId="172" fontId="9" fillId="0" borderId="0" xfId="272" applyFont="1" applyAlignment="1" applyProtection="1">
      <alignment horizontal="right"/>
    </xf>
    <xf numFmtId="165" fontId="9" fillId="0" borderId="0" xfId="272" applyNumberFormat="1" applyFont="1" applyProtection="1"/>
    <xf numFmtId="166" fontId="9" fillId="0" borderId="0" xfId="272" applyNumberFormat="1" applyFont="1" applyProtection="1"/>
    <xf numFmtId="3" fontId="8" fillId="0" borderId="6" xfId="272" applyNumberFormat="1" applyFont="1" applyBorder="1" applyAlignment="1" applyProtection="1">
      <alignment horizontal="center"/>
    </xf>
    <xf numFmtId="0" fontId="17" fillId="0" borderId="0" xfId="272" applyNumberFormat="1" applyFont="1" applyAlignment="1" applyProtection="1">
      <alignment horizontal="left"/>
    </xf>
    <xf numFmtId="180" fontId="8" fillId="0" borderId="0" xfId="86" applyNumberFormat="1" applyFont="1" applyFill="1" applyAlignment="1" applyProtection="1">
      <alignment horizontal="center"/>
    </xf>
    <xf numFmtId="180" fontId="8" fillId="0" borderId="6" xfId="86" applyNumberFormat="1" applyFont="1" applyFill="1" applyBorder="1" applyAlignment="1" applyProtection="1">
      <alignment horizontal="center"/>
    </xf>
    <xf numFmtId="184" fontId="8" fillId="0" borderId="0" xfId="86" applyNumberFormat="1" applyFont="1" applyFill="1" applyAlignment="1" applyProtection="1"/>
    <xf numFmtId="169" fontId="8" fillId="0" borderId="15" xfId="272" applyNumberFormat="1" applyFont="1" applyBorder="1" applyProtection="1"/>
    <xf numFmtId="3" fontId="8" fillId="0" borderId="0" xfId="272" quotePrefix="1" applyNumberFormat="1" applyFont="1" applyProtection="1"/>
    <xf numFmtId="169" fontId="8" fillId="0" borderId="0" xfId="272" applyNumberFormat="1" applyFont="1" applyProtection="1"/>
    <xf numFmtId="169" fontId="8" fillId="0" borderId="6" xfId="272" applyNumberFormat="1" applyFont="1" applyBorder="1" applyProtection="1"/>
    <xf numFmtId="180" fontId="25" fillId="0" borderId="0" xfId="86" applyNumberFormat="1" applyFont="1" applyFill="1" applyProtection="1"/>
    <xf numFmtId="169" fontId="9" fillId="0" borderId="0" xfId="272" applyNumberFormat="1" applyFont="1" applyProtection="1"/>
    <xf numFmtId="3" fontId="9" fillId="0" borderId="0" xfId="272" quotePrefix="1" applyNumberFormat="1" applyFont="1" applyProtection="1"/>
    <xf numFmtId="172" fontId="6" fillId="0" borderId="0" xfId="272" applyAlignment="1" applyProtection="1">
      <alignment horizontal="center"/>
    </xf>
    <xf numFmtId="0" fontId="29" fillId="0" borderId="0" xfId="272" applyNumberFormat="1" applyFont="1" applyProtection="1"/>
    <xf numFmtId="0" fontId="116" fillId="0" borderId="0" xfId="272" applyNumberFormat="1" applyFont="1" applyProtection="1"/>
    <xf numFmtId="172" fontId="29" fillId="0" borderId="0" xfId="272" applyFont="1" applyProtection="1"/>
    <xf numFmtId="0" fontId="29" fillId="0" borderId="0" xfId="0" applyFont="1" applyAlignment="1">
      <alignment vertical="top" wrapText="1"/>
    </xf>
    <xf numFmtId="172" fontId="29" fillId="0" borderId="0" xfId="272" applyFont="1" applyAlignment="1" applyProtection="1">
      <alignment wrapText="1"/>
    </xf>
    <xf numFmtId="172" fontId="116" fillId="0" borderId="0" xfId="272" applyFont="1" applyProtection="1"/>
    <xf numFmtId="0" fontId="6" fillId="0" borderId="0" xfId="272" applyNumberFormat="1" applyProtection="1"/>
    <xf numFmtId="0" fontId="86" fillId="0" borderId="0" xfId="272" applyNumberFormat="1" applyFont="1" applyAlignment="1" applyProtection="1">
      <alignment horizontal="center"/>
    </xf>
    <xf numFmtId="174" fontId="0" fillId="0" borderId="0" xfId="86" applyNumberFormat="1" applyFont="1" applyFill="1" applyProtection="1"/>
    <xf numFmtId="173" fontId="0" fillId="0" borderId="13" xfId="0" applyNumberFormat="1" applyBorder="1"/>
    <xf numFmtId="43" fontId="0" fillId="0" borderId="0" xfId="0" applyNumberFormat="1"/>
    <xf numFmtId="174" fontId="15" fillId="0" borderId="0" xfId="86" applyNumberFormat="1" applyFont="1" applyFill="1" applyProtection="1"/>
    <xf numFmtId="0" fontId="6" fillId="0" borderId="0" xfId="0" applyFont="1"/>
    <xf numFmtId="0" fontId="6" fillId="0" borderId="0" xfId="276" applyFont="1"/>
    <xf numFmtId="0" fontId="6" fillId="0" borderId="0" xfId="276" applyFont="1" applyAlignment="1">
      <alignment horizontal="right"/>
    </xf>
    <xf numFmtId="0" fontId="13" fillId="0" borderId="0" xfId="276" applyFont="1" applyAlignment="1">
      <alignment horizontal="center"/>
    </xf>
    <xf numFmtId="0" fontId="8" fillId="0" borderId="0" xfId="276" applyFont="1"/>
    <xf numFmtId="0" fontId="83" fillId="0" borderId="0" xfId="276" applyFont="1"/>
    <xf numFmtId="0" fontId="29" fillId="0" borderId="0" xfId="0" applyFont="1" applyAlignment="1">
      <alignment horizontal="center"/>
    </xf>
    <xf numFmtId="0" fontId="6" fillId="0" borderId="0" xfId="0" applyFont="1" applyAlignment="1">
      <alignment horizontal="right"/>
    </xf>
    <xf numFmtId="0" fontId="9" fillId="0" borderId="0" xfId="276" applyFont="1"/>
    <xf numFmtId="0" fontId="29" fillId="0" borderId="0" xfId="276" applyFont="1" applyAlignment="1">
      <alignment horizontal="center"/>
    </xf>
    <xf numFmtId="0" fontId="12" fillId="0" borderId="0" xfId="276" applyFont="1" applyAlignment="1">
      <alignment horizontal="center"/>
    </xf>
    <xf numFmtId="0" fontId="12" fillId="0" borderId="0" xfId="276" applyFont="1"/>
    <xf numFmtId="0" fontId="15" fillId="0" borderId="0" xfId="276" applyFont="1"/>
    <xf numFmtId="173" fontId="15" fillId="0" borderId="0" xfId="276" applyNumberFormat="1" applyFont="1"/>
    <xf numFmtId="0" fontId="105" fillId="0" borderId="0" xfId="0" applyFont="1"/>
    <xf numFmtId="0" fontId="97" fillId="0" borderId="0" xfId="276" applyFont="1" applyAlignment="1">
      <alignment horizontal="center"/>
    </xf>
    <xf numFmtId="0" fontId="97" fillId="0" borderId="0" xfId="276" applyFont="1"/>
    <xf numFmtId="0" fontId="104" fillId="0" borderId="0" xfId="0" applyFont="1"/>
    <xf numFmtId="0" fontId="104" fillId="0" borderId="0" xfId="276" applyFont="1"/>
    <xf numFmtId="172" fontId="15" fillId="0" borderId="0" xfId="276" applyNumberFormat="1" applyFont="1" applyAlignment="1">
      <alignment horizontal="center"/>
    </xf>
    <xf numFmtId="43" fontId="15" fillId="0" borderId="0" xfId="121" applyFont="1" applyFill="1" applyProtection="1"/>
    <xf numFmtId="43" fontId="104" fillId="0" borderId="0" xfId="121" applyFont="1" applyFill="1" applyProtection="1"/>
    <xf numFmtId="183" fontId="15" fillId="0" borderId="0" xfId="0" applyNumberFormat="1" applyFont="1"/>
    <xf numFmtId="173" fontId="15" fillId="0" borderId="13" xfId="0" applyNumberFormat="1" applyFont="1" applyBorder="1"/>
    <xf numFmtId="173" fontId="15" fillId="0" borderId="13" xfId="276" applyNumberFormat="1" applyFont="1" applyBorder="1"/>
    <xf numFmtId="173" fontId="8" fillId="0" borderId="0" xfId="276" applyNumberFormat="1" applyFont="1"/>
    <xf numFmtId="0" fontId="15" fillId="0" borderId="0" xfId="0" applyFont="1" applyAlignment="1">
      <alignment vertical="top" wrapText="1"/>
    </xf>
    <xf numFmtId="0" fontId="9" fillId="0" borderId="0" xfId="0" applyFont="1" applyAlignment="1">
      <alignment horizontal="center"/>
    </xf>
    <xf numFmtId="173" fontId="9" fillId="0" borderId="0" xfId="0" applyNumberFormat="1" applyFont="1" applyAlignment="1">
      <alignment horizontal="center"/>
    </xf>
    <xf numFmtId="173" fontId="5" fillId="0" borderId="0" xfId="86" applyNumberFormat="1" applyProtection="1"/>
    <xf numFmtId="0" fontId="14" fillId="0" borderId="0" xfId="0" applyFont="1"/>
    <xf numFmtId="0" fontId="21" fillId="0" borderId="0" xfId="0" applyFont="1" applyAlignment="1">
      <alignment horizontal="left"/>
    </xf>
    <xf numFmtId="0" fontId="69" fillId="0" borderId="0" xfId="0" applyFont="1"/>
    <xf numFmtId="0" fontId="9" fillId="0" borderId="0" xfId="0" applyFont="1" applyAlignment="1">
      <alignment horizontal="left"/>
    </xf>
    <xf numFmtId="0" fontId="15" fillId="0" borderId="0" xfId="272" applyNumberFormat="1" applyFont="1" applyProtection="1"/>
    <xf numFmtId="3" fontId="15" fillId="0" borderId="0" xfId="272" applyNumberFormat="1" applyFont="1" applyProtection="1"/>
    <xf numFmtId="10" fontId="5" fillId="0" borderId="0" xfId="281" applyNumberFormat="1" applyAlignment="1" applyProtection="1">
      <alignment horizontal="right"/>
    </xf>
    <xf numFmtId="172" fontId="15" fillId="0" borderId="0" xfId="272" applyFont="1" applyProtection="1"/>
    <xf numFmtId="10" fontId="15" fillId="0" borderId="0" xfId="281" applyNumberFormat="1" applyFont="1" applyFill="1" applyAlignment="1" applyProtection="1">
      <alignment horizontal="right"/>
    </xf>
    <xf numFmtId="3" fontId="12" fillId="0" borderId="0" xfId="272" applyNumberFormat="1" applyFont="1" applyProtection="1"/>
    <xf numFmtId="10" fontId="15" fillId="0" borderId="0" xfId="272" applyNumberFormat="1" applyFont="1" applyAlignment="1" applyProtection="1">
      <alignment horizontal="right"/>
    </xf>
    <xf numFmtId="3" fontId="16" fillId="0" borderId="0" xfId="272" applyNumberFormat="1" applyFont="1" applyAlignment="1" applyProtection="1">
      <alignment horizontal="center"/>
    </xf>
    <xf numFmtId="10" fontId="16" fillId="0" borderId="0" xfId="272" applyNumberFormat="1" applyFont="1" applyAlignment="1" applyProtection="1">
      <alignment horizontal="center"/>
    </xf>
    <xf numFmtId="0" fontId="15" fillId="0" borderId="0" xfId="272" applyNumberFormat="1" applyFont="1" applyAlignment="1" applyProtection="1">
      <alignment horizontal="right"/>
    </xf>
    <xf numFmtId="10" fontId="0" fillId="0" borderId="0" xfId="0" applyNumberFormat="1" applyAlignment="1">
      <alignment horizontal="center"/>
    </xf>
    <xf numFmtId="164" fontId="15" fillId="0" borderId="0" xfId="281" applyNumberFormat="1" applyFont="1" applyAlignment="1" applyProtection="1"/>
    <xf numFmtId="166" fontId="15" fillId="0" borderId="0" xfId="272" applyNumberFormat="1" applyFont="1" applyAlignment="1" applyProtection="1">
      <alignment horizontal="center"/>
    </xf>
    <xf numFmtId="41" fontId="15" fillId="0" borderId="0" xfId="272" applyNumberFormat="1" applyFont="1" applyProtection="1"/>
    <xf numFmtId="41" fontId="15" fillId="0" borderId="0" xfId="272" applyNumberFormat="1" applyFont="1" applyAlignment="1" applyProtection="1">
      <alignment horizontal="center"/>
    </xf>
    <xf numFmtId="164" fontId="16" fillId="0" borderId="0" xfId="281" applyNumberFormat="1" applyFont="1" applyAlignment="1" applyProtection="1"/>
    <xf numFmtId="3" fontId="15" fillId="0" borderId="0" xfId="272" applyNumberFormat="1" applyFont="1" applyAlignment="1" applyProtection="1">
      <alignment horizontal="right"/>
    </xf>
    <xf numFmtId="172" fontId="5" fillId="0" borderId="17" xfId="272" applyFont="1" applyBorder="1" applyProtection="1"/>
    <xf numFmtId="0" fontId="5" fillId="0" borderId="0" xfId="272" applyNumberFormat="1" applyFont="1" applyAlignment="1" applyProtection="1">
      <alignment horizontal="center"/>
    </xf>
    <xf numFmtId="172" fontId="5" fillId="0" borderId="0" xfId="272" applyFont="1" applyProtection="1"/>
    <xf numFmtId="3" fontId="5" fillId="0" borderId="18" xfId="272" applyNumberFormat="1" applyFont="1" applyBorder="1" applyProtection="1"/>
    <xf numFmtId="10" fontId="15" fillId="0" borderId="0" xfId="272" applyNumberFormat="1" applyFont="1" applyAlignment="1" applyProtection="1">
      <alignment horizontal="left"/>
    </xf>
    <xf numFmtId="0" fontId="5" fillId="0" borderId="17" xfId="0" applyFont="1" applyBorder="1"/>
    <xf numFmtId="0" fontId="5" fillId="0" borderId="18" xfId="0" applyFont="1" applyBorder="1"/>
    <xf numFmtId="166" fontId="5" fillId="0" borderId="19" xfId="272" applyNumberFormat="1" applyFont="1" applyBorder="1" applyAlignment="1" applyProtection="1">
      <alignment horizontal="center"/>
    </xf>
    <xf numFmtId="0" fontId="5" fillId="0" borderId="6" xfId="272" applyNumberFormat="1" applyFont="1" applyBorder="1" applyAlignment="1" applyProtection="1">
      <alignment horizontal="center"/>
    </xf>
    <xf numFmtId="174" fontId="5" fillId="0" borderId="20" xfId="0" applyNumberFormat="1" applyFont="1" applyBorder="1"/>
    <xf numFmtId="41" fontId="5" fillId="0" borderId="0" xfId="272" applyNumberFormat="1" applyFont="1" applyProtection="1"/>
    <xf numFmtId="0" fontId="15" fillId="26" borderId="0" xfId="272" applyNumberFormat="1" applyFont="1" applyFill="1" applyProtection="1"/>
    <xf numFmtId="41" fontId="15" fillId="0" borderId="0" xfId="272" applyNumberFormat="1" applyFont="1" applyAlignment="1" applyProtection="1">
      <alignment horizontal="left"/>
    </xf>
    <xf numFmtId="41" fontId="5" fillId="0" borderId="0" xfId="272" applyNumberFormat="1" applyFont="1" applyAlignment="1" applyProtection="1">
      <alignment horizontal="right"/>
    </xf>
    <xf numFmtId="167" fontId="15" fillId="0" borderId="0" xfId="272" applyNumberFormat="1" applyFont="1" applyProtection="1"/>
    <xf numFmtId="164" fontId="15" fillId="0" borderId="0" xfId="272" applyNumberFormat="1" applyFont="1" applyAlignment="1" applyProtection="1">
      <alignment horizontal="left"/>
    </xf>
    <xf numFmtId="3" fontId="15" fillId="0" borderId="0" xfId="272" applyNumberFormat="1" applyFont="1" applyAlignment="1" applyProtection="1">
      <alignment vertical="center" wrapText="1"/>
    </xf>
    <xf numFmtId="41" fontId="15" fillId="0" borderId="0" xfId="272" applyNumberFormat="1" applyFont="1" applyAlignment="1" applyProtection="1">
      <alignment vertical="center"/>
    </xf>
    <xf numFmtId="41" fontId="15" fillId="0" borderId="0" xfId="272" applyNumberFormat="1" applyFont="1" applyAlignment="1" applyProtection="1">
      <alignment horizontal="center" vertical="center"/>
    </xf>
    <xf numFmtId="41" fontId="15" fillId="0" borderId="0" xfId="272" applyNumberFormat="1" applyFont="1" applyAlignment="1" applyProtection="1">
      <alignment horizontal="right"/>
    </xf>
    <xf numFmtId="173" fontId="15" fillId="0" borderId="0" xfId="86" applyNumberFormat="1" applyFont="1" applyProtection="1"/>
    <xf numFmtId="41" fontId="15" fillId="0" borderId="0" xfId="0" applyNumberFormat="1" applyFont="1"/>
    <xf numFmtId="41" fontId="15" fillId="0" borderId="11" xfId="272" applyNumberFormat="1" applyFont="1" applyBorder="1" applyProtection="1"/>
    <xf numFmtId="41" fontId="16" fillId="0" borderId="0" xfId="272" applyNumberFormat="1" applyFont="1" applyProtection="1"/>
    <xf numFmtId="3" fontId="15" fillId="0" borderId="0" xfId="272" applyNumberFormat="1" applyFont="1" applyAlignment="1" applyProtection="1">
      <alignment horizontal="center"/>
    </xf>
    <xf numFmtId="0" fontId="15" fillId="0" borderId="0" xfId="272" applyNumberFormat="1" applyFont="1" applyAlignment="1" applyProtection="1">
      <alignment horizontal="center"/>
    </xf>
    <xf numFmtId="10" fontId="15" fillId="0" borderId="0" xfId="272" applyNumberFormat="1" applyFont="1" applyProtection="1"/>
    <xf numFmtId="169" fontId="15" fillId="0" borderId="0" xfId="272" applyNumberFormat="1" applyFont="1" applyProtection="1"/>
    <xf numFmtId="169" fontId="12" fillId="0" borderId="0" xfId="272" applyNumberFormat="1" applyFont="1" applyProtection="1"/>
    <xf numFmtId="173" fontId="15" fillId="0" borderId="0" xfId="86" applyNumberFormat="1" applyFont="1" applyFill="1" applyBorder="1" applyProtection="1"/>
    <xf numFmtId="41" fontId="16" fillId="0" borderId="0" xfId="0" applyNumberFormat="1" applyFont="1"/>
    <xf numFmtId="180" fontId="15" fillId="0" borderId="0" xfId="86" applyNumberFormat="1" applyFont="1" applyProtection="1"/>
    <xf numFmtId="10" fontId="16" fillId="0" borderId="0" xfId="0" applyNumberFormat="1" applyFont="1"/>
    <xf numFmtId="0" fontId="15" fillId="26" borderId="0" xfId="0" applyFont="1" applyFill="1"/>
    <xf numFmtId="173" fontId="15" fillId="0" borderId="0" xfId="86" applyNumberFormat="1" applyFont="1" applyFill="1" applyProtection="1"/>
    <xf numFmtId="173" fontId="15" fillId="0" borderId="0" xfId="86" applyNumberFormat="1" applyFont="1" applyBorder="1" applyProtection="1"/>
    <xf numFmtId="43" fontId="15" fillId="0" borderId="0" xfId="86" applyFont="1" applyProtection="1"/>
    <xf numFmtId="173" fontId="15" fillId="0" borderId="0" xfId="0" applyNumberFormat="1" applyFont="1"/>
    <xf numFmtId="0" fontId="71" fillId="0" borderId="0" xfId="0" applyFont="1"/>
    <xf numFmtId="174" fontId="15" fillId="0" borderId="0" xfId="0" applyNumberFormat="1" applyFont="1"/>
    <xf numFmtId="0" fontId="9" fillId="0" borderId="0" xfId="0" applyFont="1"/>
    <xf numFmtId="0" fontId="12" fillId="0" borderId="21" xfId="0" applyFont="1" applyBorder="1"/>
    <xf numFmtId="0" fontId="12" fillId="0" borderId="15" xfId="0" applyFont="1" applyBorder="1"/>
    <xf numFmtId="0" fontId="15" fillId="0" borderId="15" xfId="0" applyFont="1" applyBorder="1"/>
    <xf numFmtId="0" fontId="8" fillId="0" borderId="0" xfId="86" applyNumberFormat="1" applyFont="1" applyFill="1" applyAlignment="1" applyProtection="1">
      <alignment horizontal="left"/>
    </xf>
    <xf numFmtId="0" fontId="8" fillId="0" borderId="0" xfId="86" applyNumberFormat="1" applyFont="1" applyFill="1" applyBorder="1" applyAlignment="1" applyProtection="1">
      <alignment horizontal="left"/>
    </xf>
    <xf numFmtId="0" fontId="12" fillId="0" borderId="17" xfId="0" applyFont="1" applyBorder="1"/>
    <xf numFmtId="0" fontId="12" fillId="0" borderId="0" xfId="0" applyFont="1"/>
    <xf numFmtId="173" fontId="15" fillId="0" borderId="20" xfId="86" applyNumberFormat="1" applyFont="1" applyBorder="1" applyProtection="1"/>
    <xf numFmtId="0" fontId="10" fillId="0" borderId="0" xfId="0" applyFont="1"/>
    <xf numFmtId="173" fontId="25" fillId="0" borderId="0" xfId="0" applyNumberFormat="1" applyFont="1" applyAlignment="1">
      <alignment horizontal="left"/>
    </xf>
    <xf numFmtId="0" fontId="15" fillId="0" borderId="0" xfId="0" applyFont="1" applyAlignment="1">
      <alignment wrapText="1"/>
    </xf>
    <xf numFmtId="0" fontId="0" fillId="26" borderId="0" xfId="0" applyFill="1"/>
    <xf numFmtId="0" fontId="15" fillId="0" borderId="22" xfId="0" applyFont="1" applyBorder="1" applyAlignment="1">
      <alignment horizontal="center"/>
    </xf>
    <xf numFmtId="0" fontId="0" fillId="0" borderId="23" xfId="0" applyBorder="1"/>
    <xf numFmtId="0" fontId="0" fillId="0" borderId="24" xfId="0" applyBorder="1"/>
    <xf numFmtId="0" fontId="15" fillId="0" borderId="17" xfId="0" applyFont="1" applyBorder="1"/>
    <xf numFmtId="0" fontId="12" fillId="0" borderId="25" xfId="0" applyFont="1" applyBorder="1" applyAlignment="1">
      <alignment horizontal="center"/>
    </xf>
    <xf numFmtId="173" fontId="15" fillId="0" borderId="0" xfId="0" applyNumberFormat="1" applyFont="1" applyAlignment="1">
      <alignment horizontal="right"/>
    </xf>
    <xf numFmtId="10" fontId="15" fillId="0" borderId="18" xfId="0" applyNumberFormat="1" applyFont="1" applyBorder="1"/>
    <xf numFmtId="173" fontId="15" fillId="0" borderId="18" xfId="0" applyNumberFormat="1" applyFont="1" applyBorder="1" applyAlignment="1">
      <alignment horizontal="right"/>
    </xf>
    <xf numFmtId="0" fontId="15" fillId="0" borderId="19" xfId="0" applyFont="1" applyBorder="1"/>
    <xf numFmtId="0" fontId="15" fillId="0" borderId="6" xfId="0" applyFont="1" applyBorder="1" applyAlignment="1">
      <alignment horizontal="center"/>
    </xf>
    <xf numFmtId="0" fontId="0" fillId="0" borderId="6" xfId="0" applyBorder="1"/>
    <xf numFmtId="0" fontId="12" fillId="0" borderId="26" xfId="0" applyFont="1" applyBorder="1" applyAlignment="1">
      <alignment horizontal="center" wrapText="1"/>
    </xf>
    <xf numFmtId="173" fontId="12" fillId="0" borderId="0" xfId="86" applyNumberFormat="1" applyFont="1" applyBorder="1" applyAlignment="1" applyProtection="1">
      <alignment horizontal="center" wrapText="1"/>
    </xf>
    <xf numFmtId="173" fontId="12" fillId="0" borderId="26" xfId="86" applyNumberFormat="1" applyFont="1" applyBorder="1" applyAlignment="1" applyProtection="1">
      <alignment horizontal="center" wrapText="1"/>
    </xf>
    <xf numFmtId="173" fontId="12" fillId="0" borderId="25" xfId="86" applyNumberFormat="1" applyFont="1" applyBorder="1" applyAlignment="1" applyProtection="1">
      <alignment horizontal="center" wrapText="1"/>
    </xf>
    <xf numFmtId="0" fontId="12" fillId="0" borderId="27" xfId="0" applyFont="1" applyBorder="1" applyAlignment="1">
      <alignment horizontal="center" wrapText="1"/>
    </xf>
    <xf numFmtId="0" fontId="12" fillId="0" borderId="28" xfId="0" applyFont="1" applyBorder="1" applyAlignment="1">
      <alignment horizontal="center"/>
    </xf>
    <xf numFmtId="0" fontId="12" fillId="0" borderId="6" xfId="0" applyFont="1" applyBorder="1" applyAlignment="1">
      <alignment horizontal="center"/>
    </xf>
    <xf numFmtId="173" fontId="12" fillId="0" borderId="28" xfId="86" applyNumberFormat="1" applyFont="1" applyBorder="1" applyAlignment="1" applyProtection="1">
      <alignment horizontal="center"/>
    </xf>
    <xf numFmtId="173" fontId="12" fillId="0" borderId="20" xfId="86" applyNumberFormat="1" applyFont="1" applyBorder="1" applyAlignment="1" applyProtection="1">
      <alignment horizontal="center"/>
    </xf>
    <xf numFmtId="0" fontId="12" fillId="0" borderId="27" xfId="0" applyFont="1" applyBorder="1" applyAlignment="1">
      <alignment horizontal="center"/>
    </xf>
    <xf numFmtId="0" fontId="15" fillId="0" borderId="27" xfId="0" applyFont="1" applyBorder="1" applyAlignment="1">
      <alignment horizontal="center"/>
    </xf>
    <xf numFmtId="173" fontId="15" fillId="0" borderId="27" xfId="86" applyNumberFormat="1" applyFont="1" applyBorder="1" applyProtection="1"/>
    <xf numFmtId="173" fontId="15" fillId="0" borderId="27" xfId="86" applyNumberFormat="1" applyFont="1" applyFill="1" applyBorder="1" applyProtection="1"/>
    <xf numFmtId="173" fontId="15" fillId="0" borderId="18" xfId="86" applyNumberFormat="1" applyFont="1" applyFill="1" applyBorder="1" applyProtection="1"/>
    <xf numFmtId="174" fontId="15" fillId="0" borderId="27" xfId="0" applyNumberFormat="1" applyFont="1" applyBorder="1"/>
    <xf numFmtId="174" fontId="11" fillId="27" borderId="26" xfId="0" applyNumberFormat="1" applyFont="1" applyFill="1" applyBorder="1"/>
    <xf numFmtId="174" fontId="15" fillId="28" borderId="26" xfId="0" applyNumberFormat="1" applyFont="1" applyFill="1" applyBorder="1"/>
    <xf numFmtId="173" fontId="15" fillId="0" borderId="27" xfId="0" applyNumberFormat="1" applyFont="1" applyBorder="1"/>
    <xf numFmtId="173" fontId="15" fillId="0" borderId="18" xfId="86" applyNumberFormat="1" applyFont="1" applyBorder="1" applyProtection="1"/>
    <xf numFmtId="174" fontId="11" fillId="27" borderId="27" xfId="0" applyNumberFormat="1" applyFont="1" applyFill="1" applyBorder="1"/>
    <xf numFmtId="174" fontId="15" fillId="28" borderId="27" xfId="0" applyNumberFormat="1" applyFont="1" applyFill="1" applyBorder="1"/>
    <xf numFmtId="174" fontId="15" fillId="28" borderId="27" xfId="0" applyNumberFormat="1" applyFont="1" applyFill="1" applyBorder="1" applyAlignment="1">
      <alignment wrapText="1"/>
    </xf>
    <xf numFmtId="0" fontId="15" fillId="0" borderId="28" xfId="0" applyFont="1" applyBorder="1" applyAlignment="1">
      <alignment horizontal="center"/>
    </xf>
    <xf numFmtId="173" fontId="15" fillId="0" borderId="6" xfId="0" applyNumberFormat="1" applyFont="1" applyBorder="1"/>
    <xf numFmtId="173" fontId="15" fillId="0" borderId="28" xfId="0" applyNumberFormat="1" applyFont="1" applyBorder="1"/>
    <xf numFmtId="173" fontId="15" fillId="0" borderId="28" xfId="86" applyNumberFormat="1" applyFont="1" applyBorder="1" applyProtection="1"/>
    <xf numFmtId="174" fontId="15" fillId="0" borderId="28" xfId="0" applyNumberFormat="1" applyFont="1" applyBorder="1"/>
    <xf numFmtId="174" fontId="11" fillId="27" borderId="28" xfId="0" applyNumberFormat="1" applyFont="1" applyFill="1" applyBorder="1"/>
    <xf numFmtId="174" fontId="15" fillId="28" borderId="28" xfId="0" applyNumberFormat="1" applyFont="1" applyFill="1" applyBorder="1"/>
    <xf numFmtId="10" fontId="0" fillId="0" borderId="0" xfId="281" applyNumberFormat="1" applyFont="1" applyAlignment="1" applyProtection="1">
      <alignment horizontal="right"/>
    </xf>
    <xf numFmtId="172" fontId="15" fillId="0" borderId="21" xfId="272" applyFont="1" applyBorder="1" applyProtection="1"/>
    <xf numFmtId="172" fontId="15" fillId="0" borderId="15" xfId="272" applyFont="1" applyBorder="1" applyProtection="1"/>
    <xf numFmtId="3" fontId="15" fillId="0" borderId="25" xfId="272" applyNumberFormat="1" applyFont="1" applyBorder="1" applyProtection="1"/>
    <xf numFmtId="172" fontId="15" fillId="0" borderId="17" xfId="272" applyFont="1" applyBorder="1" applyProtection="1"/>
    <xf numFmtId="3" fontId="15" fillId="0" borderId="18" xfId="272" applyNumberFormat="1" applyFont="1" applyBorder="1" applyProtection="1"/>
    <xf numFmtId="0" fontId="15" fillId="0" borderId="0" xfId="272" quotePrefix="1" applyNumberFormat="1" applyFont="1" applyAlignment="1" applyProtection="1">
      <alignment horizontal="center"/>
    </xf>
    <xf numFmtId="0" fontId="15" fillId="0" borderId="18" xfId="0" applyFont="1" applyBorder="1"/>
    <xf numFmtId="10" fontId="35" fillId="0" borderId="0" xfId="0" applyNumberFormat="1" applyFont="1" applyAlignment="1">
      <alignment horizontal="center"/>
    </xf>
    <xf numFmtId="0" fontId="15" fillId="0" borderId="0" xfId="0" applyFont="1" applyAlignment="1">
      <alignment horizontal="right"/>
    </xf>
    <xf numFmtId="174" fontId="15" fillId="0" borderId="18" xfId="0" applyNumberFormat="1" applyFont="1" applyBorder="1"/>
    <xf numFmtId="174" fontId="15" fillId="0" borderId="20" xfId="0" applyNumberFormat="1" applyFont="1" applyBorder="1"/>
    <xf numFmtId="173" fontId="15" fillId="0" borderId="25" xfId="0" applyNumberFormat="1" applyFont="1" applyBorder="1"/>
    <xf numFmtId="166" fontId="15" fillId="0" borderId="19" xfId="272" applyNumberFormat="1" applyFont="1" applyBorder="1" applyAlignment="1" applyProtection="1">
      <alignment horizontal="center"/>
    </xf>
    <xf numFmtId="0" fontId="15" fillId="0" borderId="6" xfId="272" applyNumberFormat="1" applyFont="1" applyBorder="1" applyAlignment="1" applyProtection="1">
      <alignment horizontal="center"/>
    </xf>
    <xf numFmtId="173" fontId="15" fillId="0" borderId="6" xfId="272" quotePrefix="1" applyNumberFormat="1" applyFont="1" applyBorder="1" applyAlignment="1" applyProtection="1">
      <alignment horizontal="center"/>
    </xf>
    <xf numFmtId="10" fontId="15" fillId="0" borderId="0" xfId="281" applyNumberFormat="1" applyFont="1" applyFill="1" applyBorder="1" applyAlignment="1" applyProtection="1"/>
    <xf numFmtId="0" fontId="123" fillId="26" borderId="0" xfId="0" applyFont="1" applyFill="1"/>
    <xf numFmtId="0" fontId="12" fillId="0" borderId="21" xfId="0" applyFont="1" applyBorder="1" applyAlignment="1">
      <alignment horizontal="center"/>
    </xf>
    <xf numFmtId="173" fontId="15" fillId="0" borderId="17" xfId="86" applyNumberFormat="1" applyFont="1" applyBorder="1" applyProtection="1"/>
    <xf numFmtId="173" fontId="12" fillId="0" borderId="0" xfId="86" applyNumberFormat="1" applyFont="1" applyBorder="1" applyProtection="1"/>
    <xf numFmtId="173" fontId="15" fillId="0" borderId="18" xfId="0" applyNumberFormat="1" applyFont="1" applyBorder="1"/>
    <xf numFmtId="173" fontId="12" fillId="0" borderId="11" xfId="86" applyNumberFormat="1" applyFont="1" applyBorder="1" applyProtection="1"/>
    <xf numFmtId="173" fontId="15" fillId="0" borderId="29" xfId="0" applyNumberFormat="1" applyFont="1" applyBorder="1"/>
    <xf numFmtId="173" fontId="12" fillId="0" borderId="6" xfId="86" applyNumberFormat="1" applyFont="1" applyFill="1" applyBorder="1" applyAlignment="1" applyProtection="1">
      <alignment horizontal="left"/>
    </xf>
    <xf numFmtId="173" fontId="12" fillId="0" borderId="20" xfId="86" applyNumberFormat="1" applyFont="1" applyFill="1" applyBorder="1" applyAlignment="1" applyProtection="1">
      <alignment horizontal="left"/>
    </xf>
    <xf numFmtId="173" fontId="15" fillId="0" borderId="26" xfId="0" applyNumberFormat="1" applyFont="1" applyBorder="1"/>
    <xf numFmtId="174" fontId="15" fillId="0" borderId="26" xfId="0" applyNumberFormat="1" applyFont="1" applyBorder="1"/>
    <xf numFmtId="0" fontId="12" fillId="0" borderId="0" xfId="272" applyNumberFormat="1" applyFont="1" applyAlignment="1" applyProtection="1">
      <alignment vertical="center"/>
    </xf>
    <xf numFmtId="0" fontId="103" fillId="0" borderId="0" xfId="0" applyFont="1"/>
    <xf numFmtId="0" fontId="12" fillId="0" borderId="0" xfId="272" applyNumberFormat="1" applyFont="1" applyAlignment="1" applyProtection="1">
      <alignment vertical="top"/>
    </xf>
    <xf numFmtId="0" fontId="25" fillId="0" borderId="0" xfId="0" applyFont="1"/>
    <xf numFmtId="0" fontId="107" fillId="0" borderId="0" xfId="274" applyFont="1"/>
    <xf numFmtId="0" fontId="6" fillId="0" borderId="0" xfId="274"/>
    <xf numFmtId="44" fontId="107" fillId="0" borderId="0" xfId="123" applyFont="1" applyAlignment="1" applyProtection="1"/>
    <xf numFmtId="0" fontId="108" fillId="0" borderId="0" xfId="274" applyFont="1"/>
    <xf numFmtId="0" fontId="109" fillId="0" borderId="0" xfId="274" applyFont="1" applyAlignment="1">
      <alignment horizontal="center"/>
    </xf>
    <xf numFmtId="0" fontId="110" fillId="0" borderId="0" xfId="274" applyFont="1"/>
    <xf numFmtId="175" fontId="109" fillId="0" borderId="0" xfId="274" applyNumberFormat="1" applyFont="1" applyAlignment="1">
      <alignment horizontal="center"/>
    </xf>
    <xf numFmtId="0" fontId="109" fillId="0" borderId="0" xfId="274" applyFont="1"/>
    <xf numFmtId="175" fontId="109" fillId="0" borderId="0" xfId="274" quotePrefix="1" applyNumberFormat="1" applyFont="1" applyAlignment="1">
      <alignment horizontal="center"/>
    </xf>
    <xf numFmtId="192" fontId="109" fillId="0" borderId="0" xfId="274" quotePrefix="1" applyNumberFormat="1" applyFont="1" applyAlignment="1">
      <alignment horizontal="center"/>
    </xf>
    <xf numFmtId="0" fontId="111" fillId="0" borderId="0" xfId="274" applyFont="1"/>
    <xf numFmtId="0" fontId="112" fillId="0" borderId="16" xfId="274" applyFont="1" applyBorder="1"/>
    <xf numFmtId="0" fontId="108" fillId="0" borderId="16" xfId="274" applyFont="1" applyBorder="1"/>
    <xf numFmtId="0" fontId="6" fillId="0" borderId="0" xfId="274" applyAlignment="1">
      <alignment horizontal="left"/>
    </xf>
    <xf numFmtId="0" fontId="45" fillId="0" borderId="0" xfId="274" applyFont="1"/>
    <xf numFmtId="0" fontId="8" fillId="0" borderId="0" xfId="270" applyFont="1"/>
    <xf numFmtId="0" fontId="5" fillId="0" borderId="0" xfId="270"/>
    <xf numFmtId="0" fontId="5" fillId="0" borderId="0" xfId="270" applyAlignment="1">
      <alignment horizontal="center"/>
    </xf>
    <xf numFmtId="0" fontId="120" fillId="0" borderId="0" xfId="0" applyFont="1" applyAlignment="1">
      <alignment horizontal="left"/>
    </xf>
    <xf numFmtId="0" fontId="120" fillId="0" borderId="0" xfId="0" applyFont="1"/>
    <xf numFmtId="0" fontId="120" fillId="0" borderId="26" xfId="0" applyFont="1" applyBorder="1" applyAlignment="1">
      <alignment horizontal="center" wrapText="1"/>
    </xf>
    <xf numFmtId="0" fontId="120" fillId="0" borderId="27" xfId="0" applyFont="1" applyBorder="1" applyAlignment="1">
      <alignment horizontal="center" wrapText="1"/>
    </xf>
    <xf numFmtId="0" fontId="120" fillId="0" borderId="27" xfId="0" applyFont="1" applyBorder="1"/>
    <xf numFmtId="170" fontId="121" fillId="0" borderId="0" xfId="0" applyNumberFormat="1" applyFont="1" applyAlignment="1">
      <alignment horizontal="right"/>
    </xf>
    <xf numFmtId="170" fontId="120" fillId="0" borderId="0" xfId="0" applyNumberFormat="1" applyFont="1" applyAlignment="1">
      <alignment horizontal="center"/>
    </xf>
    <xf numFmtId="170" fontId="120" fillId="0" borderId="0" xfId="0" applyNumberFormat="1" applyFont="1"/>
    <xf numFmtId="170" fontId="121" fillId="0" borderId="0" xfId="0" applyNumberFormat="1" applyFont="1" applyAlignment="1">
      <alignment horizontal="center"/>
    </xf>
    <xf numFmtId="170" fontId="8" fillId="0" borderId="0" xfId="0" applyNumberFormat="1" applyFont="1"/>
    <xf numFmtId="5" fontId="120" fillId="0" borderId="28" xfId="0" applyNumberFormat="1" applyFont="1" applyBorder="1" applyAlignment="1">
      <alignment horizontal="center"/>
    </xf>
    <xf numFmtId="173" fontId="120" fillId="0" borderId="0" xfId="0" applyNumberFormat="1" applyFont="1"/>
    <xf numFmtId="0" fontId="120" fillId="0" borderId="0" xfId="0" applyFont="1" applyAlignment="1">
      <alignment horizontal="center"/>
    </xf>
    <xf numFmtId="173" fontId="120" fillId="0" borderId="6" xfId="0" applyNumberFormat="1" applyFont="1" applyBorder="1"/>
    <xf numFmtId="0" fontId="120" fillId="0" borderId="6" xfId="0" applyFont="1" applyBorder="1" applyAlignment="1">
      <alignment horizontal="center"/>
    </xf>
    <xf numFmtId="0" fontId="8" fillId="0" borderId="6" xfId="0" applyFont="1" applyBorder="1"/>
    <xf numFmtId="173" fontId="120" fillId="0" borderId="0" xfId="0" applyNumberFormat="1" applyFont="1" applyAlignment="1">
      <alignment horizontal="left"/>
    </xf>
    <xf numFmtId="0" fontId="121" fillId="0" borderId="0" xfId="0" applyFont="1" applyAlignment="1">
      <alignment horizontal="left"/>
    </xf>
    <xf numFmtId="0" fontId="121" fillId="0" borderId="0" xfId="0" applyFont="1" applyAlignment="1">
      <alignment horizontal="center" wrapText="1"/>
    </xf>
    <xf numFmtId="0" fontId="121" fillId="0" borderId="0" xfId="0" applyFont="1" applyAlignment="1">
      <alignment horizontal="center"/>
    </xf>
    <xf numFmtId="173" fontId="121" fillId="0" borderId="0" xfId="0" applyNumberFormat="1" applyFont="1" applyAlignment="1">
      <alignment horizontal="center" wrapText="1"/>
    </xf>
    <xf numFmtId="173" fontId="121" fillId="0" borderId="0" xfId="0" applyNumberFormat="1" applyFont="1" applyAlignment="1">
      <alignment horizontal="center"/>
    </xf>
    <xf numFmtId="175" fontId="120" fillId="0" borderId="0" xfId="283" applyNumberFormat="1" applyFont="1" applyFill="1" applyProtection="1"/>
    <xf numFmtId="173" fontId="120" fillId="0" borderId="0" xfId="0" applyNumberFormat="1" applyFont="1" applyAlignment="1">
      <alignment horizontal="center"/>
    </xf>
    <xf numFmtId="0" fontId="122" fillId="0" borderId="0" xfId="0" applyFont="1" applyAlignment="1">
      <alignment horizontal="center"/>
    </xf>
    <xf numFmtId="173" fontId="120" fillId="0" borderId="0" xfId="89" applyNumberFormat="1" applyFont="1" applyFill="1" applyProtection="1"/>
    <xf numFmtId="175" fontId="120" fillId="0" borderId="0" xfId="0" applyNumberFormat="1" applyFont="1"/>
    <xf numFmtId="173" fontId="120" fillId="0" borderId="11" xfId="89" applyNumberFormat="1" applyFont="1" applyFill="1" applyBorder="1" applyProtection="1"/>
    <xf numFmtId="173" fontId="121" fillId="0" borderId="0" xfId="89" applyNumberFormat="1" applyFont="1" applyFill="1" applyProtection="1"/>
    <xf numFmtId="173" fontId="121" fillId="0" borderId="0" xfId="89" applyNumberFormat="1" applyFont="1" applyFill="1" applyAlignment="1" applyProtection="1">
      <alignment horizontal="center"/>
    </xf>
    <xf numFmtId="0" fontId="122" fillId="0" borderId="0" xfId="0" applyFont="1"/>
    <xf numFmtId="194" fontId="8" fillId="0" borderId="0" xfId="0" applyNumberFormat="1" applyFont="1"/>
    <xf numFmtId="173" fontId="8" fillId="0" borderId="0" xfId="89" applyNumberFormat="1" applyFont="1" applyFill="1" applyProtection="1"/>
    <xf numFmtId="173" fontId="8" fillId="0" borderId="0" xfId="124" applyNumberFormat="1" applyFont="1" applyFill="1" applyProtection="1"/>
    <xf numFmtId="0" fontId="22" fillId="29" borderId="0" xfId="86" applyNumberFormat="1" applyFont="1" applyFill="1" applyAlignment="1" applyProtection="1">
      <protection locked="0"/>
    </xf>
    <xf numFmtId="173" fontId="22" fillId="29" borderId="0" xfId="86" applyNumberFormat="1" applyFont="1" applyFill="1" applyAlignment="1" applyProtection="1">
      <alignment horizontal="right"/>
      <protection locked="0"/>
    </xf>
    <xf numFmtId="41" fontId="22" fillId="29" borderId="0" xfId="272" applyNumberFormat="1" applyFont="1" applyFill="1" applyProtection="1">
      <protection locked="0"/>
    </xf>
    <xf numFmtId="41" fontId="22" fillId="29" borderId="6" xfId="272" applyNumberFormat="1" applyFont="1" applyFill="1" applyBorder="1" applyProtection="1">
      <protection locked="0"/>
    </xf>
    <xf numFmtId="3" fontId="22" fillId="29" borderId="0" xfId="272" applyNumberFormat="1" applyFont="1" applyFill="1" applyProtection="1">
      <protection locked="0"/>
    </xf>
    <xf numFmtId="3" fontId="22" fillId="29" borderId="6" xfId="272" applyNumberFormat="1" applyFont="1" applyFill="1" applyBorder="1" applyProtection="1">
      <protection locked="0"/>
    </xf>
    <xf numFmtId="10" fontId="22" fillId="29" borderId="0" xfId="281" applyNumberFormat="1" applyFont="1" applyFill="1" applyAlignment="1" applyProtection="1">
      <protection locked="0"/>
    </xf>
    <xf numFmtId="173" fontId="11" fillId="29" borderId="0" xfId="90" applyNumberFormat="1" applyFont="1" applyFill="1" applyBorder="1" applyAlignment="1" applyProtection="1">
      <alignment horizontal="right"/>
      <protection locked="0"/>
    </xf>
    <xf numFmtId="0" fontId="35" fillId="29" borderId="0" xfId="222" applyFont="1" applyFill="1" applyProtection="1">
      <protection locked="0"/>
    </xf>
    <xf numFmtId="173" fontId="11" fillId="29" borderId="11" xfId="90" applyNumberFormat="1" applyFont="1" applyFill="1" applyBorder="1" applyAlignment="1" applyProtection="1">
      <alignment horizontal="right"/>
      <protection locked="0"/>
    </xf>
    <xf numFmtId="41" fontId="11" fillId="29" borderId="0" xfId="263" applyNumberFormat="1" applyFont="1" applyFill="1" applyProtection="1">
      <protection locked="0"/>
    </xf>
    <xf numFmtId="41" fontId="11" fillId="29" borderId="11" xfId="263" applyNumberFormat="1" applyFont="1" applyFill="1" applyBorder="1" applyProtection="1">
      <protection locked="0"/>
    </xf>
    <xf numFmtId="37" fontId="11" fillId="29" borderId="0" xfId="0" applyNumberFormat="1" applyFont="1" applyFill="1" applyProtection="1">
      <protection locked="0"/>
    </xf>
    <xf numFmtId="3" fontId="66" fillId="29" borderId="0" xfId="0" applyNumberFormat="1" applyFont="1" applyFill="1" applyProtection="1">
      <protection locked="0"/>
    </xf>
    <xf numFmtId="3" fontId="124" fillId="29" borderId="0" xfId="0" applyNumberFormat="1" applyFont="1" applyFill="1" applyProtection="1">
      <protection locked="0"/>
    </xf>
    <xf numFmtId="37" fontId="124" fillId="29" borderId="0" xfId="0" applyNumberFormat="1" applyFont="1" applyFill="1" applyProtection="1">
      <protection locked="0"/>
    </xf>
    <xf numFmtId="1" fontId="66" fillId="29" borderId="0" xfId="0" applyNumberFormat="1" applyFont="1" applyFill="1" applyAlignment="1" applyProtection="1">
      <alignment horizontal="left"/>
      <protection locked="0"/>
    </xf>
    <xf numFmtId="38" fontId="66" fillId="0" borderId="15" xfId="0" applyNumberFormat="1" applyFont="1" applyBorder="1"/>
    <xf numFmtId="173" fontId="11" fillId="0" borderId="0" xfId="86" applyNumberFormat="1" applyFont="1" applyFill="1" applyProtection="1"/>
    <xf numFmtId="173" fontId="0" fillId="0" borderId="11" xfId="0" applyNumberFormat="1" applyBorder="1"/>
    <xf numFmtId="173" fontId="11" fillId="29" borderId="0" xfId="121" applyNumberFormat="1" applyFont="1" applyFill="1" applyProtection="1">
      <protection locked="0"/>
    </xf>
    <xf numFmtId="0" fontId="22" fillId="29" borderId="0" xfId="263" applyFont="1" applyFill="1" applyAlignment="1" applyProtection="1">
      <alignment horizontal="center"/>
      <protection locked="0"/>
    </xf>
    <xf numFmtId="3" fontId="22" fillId="29" borderId="0" xfId="0" applyNumberFormat="1" applyFont="1" applyFill="1" applyProtection="1">
      <protection locked="0"/>
    </xf>
    <xf numFmtId="41" fontId="22" fillId="29" borderId="0" xfId="263" applyNumberFormat="1" applyFont="1" applyFill="1" applyProtection="1">
      <protection locked="0"/>
    </xf>
    <xf numFmtId="38" fontId="11" fillId="29" borderId="0" xfId="0" applyNumberFormat="1" applyFont="1" applyFill="1" applyProtection="1">
      <protection locked="0"/>
    </xf>
    <xf numFmtId="10" fontId="22" fillId="29" borderId="0" xfId="0" applyNumberFormat="1" applyFont="1" applyFill="1" applyProtection="1">
      <protection locked="0"/>
    </xf>
    <xf numFmtId="10" fontId="22" fillId="29" borderId="11" xfId="0" applyNumberFormat="1" applyFont="1" applyFill="1" applyBorder="1" applyProtection="1">
      <protection locked="0"/>
    </xf>
    <xf numFmtId="173" fontId="80" fillId="29" borderId="0" xfId="273" applyNumberFormat="1" applyFont="1" applyFill="1" applyProtection="1">
      <protection locked="0"/>
    </xf>
    <xf numFmtId="0" fontId="74" fillId="29" borderId="0" xfId="273" applyFont="1" applyFill="1" applyAlignment="1" applyProtection="1">
      <alignment horizontal="center"/>
      <protection locked="0"/>
    </xf>
    <xf numFmtId="0" fontId="11" fillId="29" borderId="0" xfId="86" applyNumberFormat="1" applyFont="1" applyFill="1" applyAlignment="1" applyProtection="1">
      <protection locked="0"/>
    </xf>
    <xf numFmtId="173" fontId="5" fillId="29" borderId="6" xfId="272" applyNumberFormat="1" applyFont="1" applyFill="1" applyBorder="1" applyAlignment="1" applyProtection="1">
      <alignment horizontal="center"/>
      <protection locked="0"/>
    </xf>
    <xf numFmtId="0" fontId="22" fillId="29" borderId="0" xfId="86" applyNumberFormat="1" applyFont="1" applyFill="1" applyAlignment="1" applyProtection="1">
      <alignment horizontal="left"/>
      <protection locked="0"/>
    </xf>
    <xf numFmtId="173" fontId="152" fillId="29" borderId="18" xfId="86" applyNumberFormat="1" applyFont="1" applyFill="1" applyBorder="1" applyAlignment="1" applyProtection="1">
      <alignment horizontal="right"/>
      <protection locked="0"/>
    </xf>
    <xf numFmtId="0" fontId="152" fillId="29" borderId="18" xfId="0" applyFont="1" applyFill="1" applyBorder="1" applyAlignment="1" applyProtection="1">
      <alignment horizontal="right"/>
      <protection locked="0"/>
    </xf>
    <xf numFmtId="173" fontId="11" fillId="29" borderId="18" xfId="86" applyNumberFormat="1" applyFont="1" applyFill="1" applyBorder="1" applyAlignment="1" applyProtection="1">
      <alignment horizontal="right"/>
      <protection locked="0"/>
    </xf>
    <xf numFmtId="0" fontId="11" fillId="29" borderId="20" xfId="0" applyFont="1" applyFill="1" applyBorder="1" applyAlignment="1" applyProtection="1">
      <alignment horizontal="right"/>
      <protection locked="0"/>
    </xf>
    <xf numFmtId="173" fontId="11" fillId="29" borderId="18" xfId="0" applyNumberFormat="1" applyFont="1" applyFill="1" applyBorder="1" applyAlignment="1" applyProtection="1">
      <alignment horizontal="right"/>
      <protection locked="0"/>
    </xf>
    <xf numFmtId="174" fontId="11" fillId="29" borderId="26" xfId="0" applyNumberFormat="1" applyFont="1" applyFill="1" applyBorder="1" applyProtection="1">
      <protection locked="0"/>
    </xf>
    <xf numFmtId="174" fontId="11" fillId="29" borderId="27" xfId="0" applyNumberFormat="1" applyFont="1" applyFill="1" applyBorder="1" applyProtection="1">
      <protection locked="0"/>
    </xf>
    <xf numFmtId="174" fontId="11" fillId="29" borderId="28" xfId="0" applyNumberFormat="1" applyFont="1" applyFill="1" applyBorder="1" applyProtection="1">
      <protection locked="0"/>
    </xf>
    <xf numFmtId="174" fontId="15" fillId="29" borderId="0" xfId="0" applyNumberFormat="1" applyFont="1" applyFill="1" applyProtection="1">
      <protection locked="0"/>
    </xf>
    <xf numFmtId="174" fontId="15" fillId="29" borderId="6" xfId="0" applyNumberFormat="1" applyFont="1" applyFill="1" applyBorder="1" applyProtection="1">
      <protection locked="0"/>
    </xf>
    <xf numFmtId="0" fontId="72" fillId="29" borderId="0" xfId="0" applyFont="1" applyFill="1" applyAlignment="1" applyProtection="1">
      <alignment horizontal="left"/>
      <protection locked="0"/>
    </xf>
    <xf numFmtId="0" fontId="11" fillId="29" borderId="18" xfId="0" applyFont="1" applyFill="1" applyBorder="1" applyAlignment="1" applyProtection="1">
      <alignment horizontal="right"/>
      <protection locked="0"/>
    </xf>
    <xf numFmtId="0" fontId="20" fillId="0" borderId="0" xfId="263" applyFont="1" applyAlignment="1">
      <alignment wrapText="1"/>
    </xf>
    <xf numFmtId="173" fontId="23" fillId="29" borderId="0" xfId="86" applyNumberFormat="1" applyFont="1" applyFill="1" applyProtection="1">
      <protection locked="0"/>
    </xf>
    <xf numFmtId="188" fontId="23" fillId="29" borderId="0" xfId="0" applyNumberFormat="1" applyFont="1" applyFill="1" applyProtection="1">
      <protection locked="0"/>
    </xf>
    <xf numFmtId="0" fontId="0" fillId="29" borderId="0" xfId="0" applyFill="1" applyAlignment="1" applyProtection="1">
      <alignment horizontal="center"/>
      <protection locked="0"/>
    </xf>
    <xf numFmtId="0" fontId="23" fillId="29" borderId="0" xfId="0" applyFont="1" applyFill="1" applyProtection="1">
      <protection locked="0"/>
    </xf>
    <xf numFmtId="170" fontId="120" fillId="29" borderId="28" xfId="0" applyNumberFormat="1" applyFont="1" applyFill="1" applyBorder="1" applyAlignment="1" applyProtection="1">
      <alignment horizontal="center"/>
      <protection locked="0"/>
    </xf>
    <xf numFmtId="196" fontId="153" fillId="26" borderId="0" xfId="0" applyNumberFormat="1" applyFont="1" applyFill="1" applyAlignment="1">
      <alignment horizontal="right"/>
    </xf>
    <xf numFmtId="41" fontId="11" fillId="29" borderId="0" xfId="264" applyNumberFormat="1" applyFont="1" applyFill="1"/>
    <xf numFmtId="41" fontId="11" fillId="29" borderId="11" xfId="264" applyNumberFormat="1" applyFont="1" applyFill="1" applyBorder="1"/>
    <xf numFmtId="173" fontId="11" fillId="0" borderId="0" xfId="121" applyNumberFormat="1" applyFont="1" applyFill="1" applyProtection="1">
      <protection locked="0"/>
    </xf>
    <xf numFmtId="0" fontId="128" fillId="0" borderId="0" xfId="0" applyFont="1" applyAlignment="1">
      <alignment vertical="center"/>
    </xf>
    <xf numFmtId="0" fontId="82" fillId="0" borderId="0" xfId="222" applyFont="1" applyAlignment="1">
      <alignment horizontal="center"/>
    </xf>
    <xf numFmtId="173" fontId="80" fillId="0" borderId="0" xfId="273" applyNumberFormat="1" applyFont="1" applyProtection="1">
      <protection locked="0"/>
    </xf>
    <xf numFmtId="0" fontId="74" fillId="0" borderId="0" xfId="273" applyFont="1" applyAlignment="1" applyProtection="1">
      <alignment horizontal="center"/>
      <protection locked="0"/>
    </xf>
    <xf numFmtId="0" fontId="129" fillId="0" borderId="0" xfId="0" applyFont="1" applyAlignment="1">
      <alignment horizontal="center"/>
    </xf>
    <xf numFmtId="172" fontId="15" fillId="0" borderId="0" xfId="268" applyFont="1"/>
    <xf numFmtId="0" fontId="15" fillId="0" borderId="0" xfId="275"/>
    <xf numFmtId="173" fontId="15" fillId="0" borderId="14" xfId="89" applyNumberFormat="1" applyFont="1" applyBorder="1"/>
    <xf numFmtId="173" fontId="15" fillId="0" borderId="32" xfId="89" applyNumberFormat="1" applyFont="1" applyBorder="1"/>
    <xf numFmtId="0" fontId="15" fillId="0" borderId="14" xfId="0" applyFont="1" applyBorder="1" applyAlignment="1">
      <alignment horizontal="center"/>
    </xf>
    <xf numFmtId="173" fontId="11" fillId="29" borderId="0" xfId="90" applyNumberFormat="1" applyFont="1" applyFill="1" applyBorder="1" applyAlignment="1">
      <alignment horizontal="right"/>
    </xf>
    <xf numFmtId="0" fontId="15" fillId="0" borderId="35" xfId="0" applyFont="1" applyBorder="1" applyAlignment="1">
      <alignment horizontal="center"/>
    </xf>
    <xf numFmtId="0" fontId="15" fillId="0" borderId="34" xfId="0" applyFont="1" applyBorder="1" applyAlignment="1">
      <alignment horizontal="center"/>
    </xf>
    <xf numFmtId="0" fontId="129" fillId="0" borderId="0" xfId="0" applyFont="1"/>
    <xf numFmtId="3" fontId="15" fillId="0" borderId="11" xfId="222" applyNumberFormat="1" applyBorder="1" applyAlignment="1">
      <alignment horizontal="center" wrapText="1"/>
    </xf>
    <xf numFmtId="3" fontId="15" fillId="0" borderId="35" xfId="222" applyNumberFormat="1" applyBorder="1" applyAlignment="1">
      <alignment horizontal="center" wrapText="1"/>
    </xf>
    <xf numFmtId="0" fontId="12" fillId="0" borderId="0" xfId="275" applyFont="1" applyAlignment="1">
      <alignment horizontal="center"/>
    </xf>
    <xf numFmtId="0" fontId="12" fillId="0" borderId="33" xfId="275" applyFont="1" applyBorder="1" applyAlignment="1">
      <alignment horizontal="center"/>
    </xf>
    <xf numFmtId="0" fontId="12" fillId="0" borderId="34" xfId="275" applyFont="1" applyBorder="1" applyAlignment="1">
      <alignment horizontal="center"/>
    </xf>
    <xf numFmtId="0" fontId="12" fillId="0" borderId="33" xfId="275" applyFont="1" applyBorder="1" applyAlignment="1">
      <alignment horizontal="center" wrapText="1"/>
    </xf>
    <xf numFmtId="0" fontId="12" fillId="0" borderId="0" xfId="275" applyFont="1" applyAlignment="1">
      <alignment horizontal="center" wrapText="1"/>
    </xf>
    <xf numFmtId="0" fontId="12" fillId="0" borderId="34" xfId="275" applyFont="1" applyBorder="1" applyAlignment="1">
      <alignment horizontal="center" wrapText="1"/>
    </xf>
    <xf numFmtId="0" fontId="15" fillId="0" borderId="34" xfId="0" applyFont="1" applyBorder="1" applyAlignment="1">
      <alignment horizontal="center" wrapText="1"/>
    </xf>
    <xf numFmtId="0" fontId="15" fillId="0" borderId="2" xfId="0" applyFont="1" applyBorder="1"/>
    <xf numFmtId="0" fontId="15" fillId="0" borderId="36" xfId="0" applyFont="1" applyBorder="1"/>
    <xf numFmtId="0" fontId="12" fillId="0" borderId="2" xfId="275" applyFont="1" applyBorder="1" applyAlignment="1">
      <alignment horizontal="centerContinuous" wrapText="1"/>
    </xf>
    <xf numFmtId="0" fontId="15" fillId="0" borderId="36" xfId="0" applyFont="1" applyBorder="1" applyAlignment="1">
      <alignment horizontal="center"/>
    </xf>
    <xf numFmtId="37" fontId="15" fillId="0" borderId="0" xfId="275" applyNumberFormat="1"/>
    <xf numFmtId="173" fontId="15" fillId="0" borderId="14" xfId="90" applyNumberFormat="1" applyFont="1" applyBorder="1"/>
    <xf numFmtId="0" fontId="15" fillId="0" borderId="39" xfId="275" applyBorder="1" applyAlignment="1">
      <alignment horizontal="right"/>
    </xf>
    <xf numFmtId="0" fontId="15" fillId="0" borderId="40" xfId="0" applyFont="1" applyBorder="1" applyAlignment="1">
      <alignment horizontal="center"/>
    </xf>
    <xf numFmtId="0" fontId="15" fillId="0" borderId="37" xfId="275" applyBorder="1"/>
    <xf numFmtId="0" fontId="15" fillId="0" borderId="33" xfId="275" applyBorder="1"/>
    <xf numFmtId="0" fontId="15" fillId="0" borderId="33" xfId="275" quotePrefix="1" applyBorder="1" applyAlignment="1">
      <alignment horizontal="left"/>
    </xf>
    <xf numFmtId="3" fontId="27" fillId="0" borderId="11" xfId="222" applyNumberFormat="1" applyFont="1" applyBorder="1" applyAlignment="1">
      <alignment horizontal="center" wrapText="1"/>
    </xf>
    <xf numFmtId="0" fontId="12" fillId="0" borderId="38" xfId="275" applyFont="1" applyBorder="1" applyAlignment="1">
      <alignment horizontal="center" wrapText="1"/>
    </xf>
    <xf numFmtId="0" fontId="15" fillId="0" borderId="36" xfId="0" applyFont="1" applyBorder="1" applyAlignment="1">
      <alignment horizontal="center" wrapText="1"/>
    </xf>
    <xf numFmtId="0" fontId="12" fillId="0" borderId="0" xfId="275" applyFont="1" applyAlignment="1">
      <alignment horizontal="centerContinuous"/>
    </xf>
    <xf numFmtId="0" fontId="15" fillId="0" borderId="0" xfId="200"/>
    <xf numFmtId="0" fontId="15" fillId="0" borderId="0" xfId="275" applyAlignment="1">
      <alignment horizontal="left"/>
    </xf>
    <xf numFmtId="0" fontId="20" fillId="0" borderId="0" xfId="222" applyFont="1" applyAlignment="1">
      <alignment horizontal="center" vertical="center"/>
    </xf>
    <xf numFmtId="0" fontId="20" fillId="0" borderId="0" xfId="263" applyFont="1" applyAlignment="1">
      <alignment horizontal="center" vertical="center" wrapText="1"/>
    </xf>
    <xf numFmtId="0" fontId="20" fillId="0" borderId="0" xfId="222" quotePrefix="1" applyFont="1" applyAlignment="1">
      <alignment horizontal="center" vertical="center" wrapText="1"/>
    </xf>
    <xf numFmtId="0" fontId="20" fillId="0" borderId="0" xfId="222" applyFont="1" applyAlignment="1">
      <alignment horizontal="left" vertical="center"/>
    </xf>
    <xf numFmtId="173" fontId="0" fillId="0" borderId="11" xfId="86" applyNumberFormat="1" applyFont="1" applyFill="1" applyBorder="1"/>
    <xf numFmtId="173" fontId="66" fillId="0" borderId="0" xfId="86" applyNumberFormat="1" applyFont="1" applyFill="1" applyAlignment="1" applyProtection="1">
      <alignment horizontal="left"/>
      <protection locked="0"/>
    </xf>
    <xf numFmtId="173" fontId="66" fillId="0" borderId="11" xfId="86" applyNumberFormat="1" applyFont="1" applyFill="1" applyBorder="1" applyAlignment="1" applyProtection="1">
      <alignment horizontal="left"/>
      <protection locked="0"/>
    </xf>
    <xf numFmtId="0" fontId="18" fillId="0" borderId="0" xfId="0" applyFont="1"/>
    <xf numFmtId="0" fontId="18" fillId="0" borderId="0" xfId="0" applyFont="1" applyAlignment="1">
      <alignment horizontal="center"/>
    </xf>
    <xf numFmtId="0" fontId="18" fillId="0" borderId="0" xfId="0" applyFont="1" applyAlignment="1">
      <alignment horizontal="right"/>
    </xf>
    <xf numFmtId="0" fontId="94" fillId="0" borderId="0" xfId="275" applyFont="1" applyAlignment="1">
      <alignment horizontal="centerContinuous"/>
    </xf>
    <xf numFmtId="0" fontId="18" fillId="0" borderId="0" xfId="275" applyFont="1" applyAlignment="1">
      <alignment horizontal="left"/>
    </xf>
    <xf numFmtId="0" fontId="94" fillId="0" borderId="0" xfId="275" applyFont="1" applyAlignment="1">
      <alignment horizontal="center"/>
    </xf>
    <xf numFmtId="0" fontId="12" fillId="0" borderId="41" xfId="275" applyFont="1" applyBorder="1" applyAlignment="1">
      <alignment horizontal="center" wrapText="1"/>
    </xf>
    <xf numFmtId="0" fontId="18" fillId="0" borderId="0" xfId="0" applyFont="1" applyAlignment="1">
      <alignment wrapText="1"/>
    </xf>
    <xf numFmtId="0" fontId="12" fillId="0" borderId="10" xfId="275" applyFont="1" applyBorder="1" applyAlignment="1">
      <alignment horizontal="center"/>
    </xf>
    <xf numFmtId="0" fontId="130" fillId="0" borderId="0" xfId="0" applyFont="1"/>
    <xf numFmtId="3" fontId="27" fillId="0" borderId="35" xfId="222" applyNumberFormat="1" applyFont="1" applyBorder="1" applyAlignment="1">
      <alignment horizontal="center" wrapText="1"/>
    </xf>
    <xf numFmtId="173" fontId="11" fillId="29" borderId="0" xfId="113" applyNumberFormat="1" applyFont="1" applyFill="1" applyAlignment="1" applyProtection="1">
      <protection locked="0"/>
    </xf>
    <xf numFmtId="41" fontId="15" fillId="0" borderId="10" xfId="275" applyNumberFormat="1" applyBorder="1"/>
    <xf numFmtId="173" fontId="15" fillId="0" borderId="42" xfId="89" applyNumberFormat="1" applyFont="1" applyBorder="1"/>
    <xf numFmtId="3" fontId="27" fillId="0" borderId="43" xfId="222" applyNumberFormat="1" applyFont="1" applyBorder="1" applyAlignment="1">
      <alignment horizontal="center" wrapText="1"/>
    </xf>
    <xf numFmtId="0" fontId="18" fillId="0" borderId="0" xfId="275" applyFont="1"/>
    <xf numFmtId="37" fontId="18" fillId="0" borderId="0" xfId="275" applyNumberFormat="1" applyFont="1"/>
    <xf numFmtId="172" fontId="18" fillId="0" borderId="0" xfId="268" applyFont="1"/>
    <xf numFmtId="0" fontId="15" fillId="0" borderId="0" xfId="265" applyAlignment="1">
      <alignment vertical="top"/>
    </xf>
    <xf numFmtId="0" fontId="130" fillId="0" borderId="0" xfId="0" applyFont="1" applyAlignment="1">
      <alignment horizontal="center"/>
    </xf>
    <xf numFmtId="0" fontId="93" fillId="0" borderId="0" xfId="266" applyFont="1"/>
    <xf numFmtId="0" fontId="94" fillId="0" borderId="0" xfId="0" applyFont="1" applyAlignment="1">
      <alignment horizontal="center"/>
    </xf>
    <xf numFmtId="0" fontId="94" fillId="0" borderId="0" xfId="0" quotePrefix="1" applyFont="1" applyAlignment="1">
      <alignment horizontal="center"/>
    </xf>
    <xf numFmtId="0" fontId="12" fillId="0" borderId="0" xfId="266" applyFont="1" applyAlignment="1">
      <alignment horizontal="left"/>
    </xf>
    <xf numFmtId="173" fontId="15" fillId="0" borderId="0" xfId="89" applyNumberFormat="1" applyFont="1" applyFill="1" applyProtection="1"/>
    <xf numFmtId="0" fontId="15" fillId="0" borderId="0" xfId="266"/>
    <xf numFmtId="0" fontId="15" fillId="0" borderId="0" xfId="193"/>
    <xf numFmtId="0" fontId="15" fillId="0" borderId="0" xfId="266" applyAlignment="1">
      <alignment horizontal="left"/>
    </xf>
    <xf numFmtId="173" fontId="11" fillId="29" borderId="0" xfId="89" applyNumberFormat="1" applyFont="1" applyFill="1" applyProtection="1">
      <protection locked="0"/>
    </xf>
    <xf numFmtId="0" fontId="15" fillId="0" borderId="0" xfId="265" applyAlignment="1">
      <alignment horizontal="left"/>
    </xf>
    <xf numFmtId="173" fontId="11" fillId="0" borderId="0" xfId="89" applyNumberFormat="1" applyFont="1" applyFill="1" applyProtection="1">
      <protection locked="0"/>
    </xf>
    <xf numFmtId="10" fontId="15" fillId="0" borderId="0" xfId="283" applyNumberFormat="1" applyFont="1" applyFill="1" applyBorder="1" applyProtection="1"/>
    <xf numFmtId="173" fontId="11" fillId="29" borderId="6" xfId="89" applyNumberFormat="1" applyFont="1" applyFill="1" applyBorder="1" applyAlignment="1" applyProtection="1">
      <protection locked="0"/>
    </xf>
    <xf numFmtId="10" fontId="12" fillId="0" borderId="0" xfId="283" applyNumberFormat="1" applyFont="1" applyFill="1" applyBorder="1" applyProtection="1"/>
    <xf numFmtId="0" fontId="12" fillId="0" borderId="0" xfId="266" applyFont="1"/>
    <xf numFmtId="173" fontId="15" fillId="0" borderId="0" xfId="283" applyNumberFormat="1" applyFont="1" applyFill="1" applyBorder="1" applyProtection="1"/>
    <xf numFmtId="10" fontId="12" fillId="0" borderId="44" xfId="283" applyNumberFormat="1" applyFont="1" applyFill="1" applyBorder="1" applyProtection="1"/>
    <xf numFmtId="0" fontId="102" fillId="0" borderId="0" xfId="193" applyFont="1" applyAlignment="1">
      <alignment horizontal="center"/>
    </xf>
    <xf numFmtId="0" fontId="18" fillId="0" borderId="0" xfId="266" applyFont="1"/>
    <xf numFmtId="41" fontId="12" fillId="0" borderId="0" xfId="266" applyNumberFormat="1" applyFont="1" applyAlignment="1">
      <alignment horizontal="center" wrapText="1"/>
    </xf>
    <xf numFmtId="173" fontId="18" fillId="0" borderId="0" xfId="266" applyNumberFormat="1" applyFont="1"/>
    <xf numFmtId="0" fontId="15" fillId="0" borderId="11" xfId="0" applyFont="1" applyBorder="1"/>
    <xf numFmtId="0" fontId="18" fillId="0" borderId="11" xfId="266" applyFont="1" applyBorder="1"/>
    <xf numFmtId="0" fontId="15" fillId="26" borderId="0" xfId="266" applyFill="1" applyAlignment="1">
      <alignment horizontal="left"/>
    </xf>
    <xf numFmtId="41" fontId="15" fillId="0" borderId="0" xfId="283" applyNumberFormat="1" applyFont="1" applyFill="1" applyBorder="1" applyProtection="1"/>
    <xf numFmtId="184" fontId="15" fillId="0" borderId="0" xfId="89" applyNumberFormat="1" applyFont="1" applyFill="1" applyBorder="1" applyProtection="1"/>
    <xf numFmtId="10" fontId="18" fillId="0" borderId="0" xfId="283" applyNumberFormat="1" applyFont="1" applyFill="1" applyProtection="1"/>
    <xf numFmtId="173" fontId="15" fillId="0" borderId="0" xfId="89" applyNumberFormat="1" applyFont="1" applyFill="1" applyBorder="1" applyProtection="1"/>
    <xf numFmtId="173" fontId="12" fillId="0" borderId="44" xfId="89" applyNumberFormat="1" applyFont="1" applyFill="1" applyBorder="1" applyProtection="1"/>
    <xf numFmtId="0" fontId="93" fillId="0" borderId="0" xfId="266" applyFont="1" applyAlignment="1">
      <alignment horizontal="left"/>
    </xf>
    <xf numFmtId="0" fontId="18" fillId="0" borderId="0" xfId="266" applyFont="1" applyAlignment="1">
      <alignment horizontal="left"/>
    </xf>
    <xf numFmtId="0" fontId="20" fillId="0" borderId="0" xfId="266" applyFont="1" applyAlignment="1">
      <alignment horizontal="left"/>
    </xf>
    <xf numFmtId="0" fontId="20" fillId="0" borderId="0" xfId="266" applyFont="1" applyAlignment="1">
      <alignment horizontal="center" wrapText="1"/>
    </xf>
    <xf numFmtId="164" fontId="11" fillId="29" borderId="0" xfId="283" applyNumberFormat="1" applyFont="1" applyFill="1" applyAlignment="1" applyProtection="1">
      <alignment horizontal="right" wrapText="1"/>
      <protection locked="0"/>
    </xf>
    <xf numFmtId="44" fontId="11" fillId="29" borderId="0" xfId="124" applyFont="1" applyFill="1" applyAlignment="1" applyProtection="1">
      <alignment horizontal="right" wrapText="1"/>
      <protection locked="0"/>
    </xf>
    <xf numFmtId="41" fontId="11" fillId="0" borderId="0" xfId="266" applyNumberFormat="1" applyFont="1"/>
    <xf numFmtId="173" fontId="15" fillId="0" borderId="0" xfId="89" applyNumberFormat="1" applyFill="1" applyProtection="1"/>
    <xf numFmtId="41" fontId="15" fillId="0" borderId="0" xfId="266" applyNumberFormat="1"/>
    <xf numFmtId="41" fontId="94" fillId="0" borderId="0" xfId="266" applyNumberFormat="1" applyFont="1"/>
    <xf numFmtId="41" fontId="15" fillId="0" borderId="12" xfId="266" applyNumberFormat="1" applyBorder="1"/>
    <xf numFmtId="41" fontId="12" fillId="0" borderId="41" xfId="266" applyNumberFormat="1" applyFont="1" applyBorder="1"/>
    <xf numFmtId="3" fontId="0" fillId="0" borderId="0" xfId="0" applyNumberFormat="1"/>
    <xf numFmtId="0" fontId="16" fillId="0" borderId="0" xfId="0" applyFont="1" applyAlignment="1">
      <alignment horizontal="center"/>
    </xf>
    <xf numFmtId="3" fontId="0" fillId="0" borderId="0" xfId="0" applyNumberFormat="1" applyAlignment="1">
      <alignment horizontal="centerContinuous"/>
    </xf>
    <xf numFmtId="3" fontId="16" fillId="0" borderId="0" xfId="0" applyNumberFormat="1" applyFont="1" applyAlignment="1">
      <alignment horizontal="centerContinuous"/>
    </xf>
    <xf numFmtId="3" fontId="15" fillId="0" borderId="0" xfId="0" applyNumberFormat="1" applyFont="1" applyAlignment="1">
      <alignment horizontal="centerContinuous"/>
    </xf>
    <xf numFmtId="3" fontId="0" fillId="0" borderId="45" xfId="0" applyNumberFormat="1" applyBorder="1"/>
    <xf numFmtId="3" fontId="0" fillId="0" borderId="0" xfId="0" applyNumberFormat="1" applyAlignment="1">
      <alignment horizontal="left"/>
    </xf>
    <xf numFmtId="37" fontId="0" fillId="0" borderId="0" xfId="0" applyNumberFormat="1"/>
    <xf numFmtId="37" fontId="0" fillId="0" borderId="0" xfId="0" applyNumberFormat="1" applyAlignment="1">
      <alignment horizontal="center"/>
    </xf>
    <xf numFmtId="37" fontId="0" fillId="0" borderId="45" xfId="0" applyNumberFormat="1" applyBorder="1"/>
    <xf numFmtId="37" fontId="0" fillId="0" borderId="46" xfId="0" applyNumberFormat="1" applyBorder="1"/>
    <xf numFmtId="37" fontId="15" fillId="0" borderId="0" xfId="0" applyNumberFormat="1" applyFont="1"/>
    <xf numFmtId="3" fontId="0" fillId="0" borderId="0" xfId="0" applyNumberFormat="1" applyAlignment="1" applyProtection="1">
      <alignment horizontal="center"/>
      <protection locked="0"/>
    </xf>
    <xf numFmtId="3" fontId="0" fillId="0" borderId="0" xfId="0" applyNumberFormat="1" applyAlignment="1">
      <alignment horizontal="center"/>
    </xf>
    <xf numFmtId="3" fontId="0" fillId="0" borderId="0" xfId="0" applyNumberFormat="1" applyProtection="1">
      <protection locked="0"/>
    </xf>
    <xf numFmtId="37" fontId="0" fillId="0" borderId="14" xfId="0" applyNumberFormat="1" applyBorder="1"/>
    <xf numFmtId="37" fontId="154" fillId="0" borderId="46" xfId="0" applyNumberFormat="1" applyFont="1" applyBorder="1"/>
    <xf numFmtId="37" fontId="154" fillId="0" borderId="0" xfId="0" applyNumberFormat="1" applyFont="1"/>
    <xf numFmtId="185" fontId="15" fillId="0" borderId="0" xfId="263" applyNumberFormat="1" applyFont="1"/>
    <xf numFmtId="3" fontId="15" fillId="0" borderId="0" xfId="0" applyNumberFormat="1" applyFont="1" applyAlignment="1">
      <alignment horizontal="center"/>
    </xf>
    <xf numFmtId="4" fontId="15" fillId="0" borderId="0" xfId="0" applyNumberFormat="1" applyFont="1" applyAlignment="1">
      <alignment horizontal="center"/>
    </xf>
    <xf numFmtId="0" fontId="155" fillId="0" borderId="0" xfId="272" applyNumberFormat="1" applyFont="1" applyAlignment="1" applyProtection="1">
      <alignment horizontal="center"/>
    </xf>
    <xf numFmtId="172" fontId="156" fillId="0" borderId="0" xfId="272" applyFont="1" applyProtection="1"/>
    <xf numFmtId="197" fontId="11" fillId="29" borderId="0" xfId="263" applyNumberFormat="1" applyFont="1" applyFill="1" applyProtection="1">
      <protection locked="0"/>
    </xf>
    <xf numFmtId="0" fontId="157" fillId="0" borderId="0" xfId="0" applyFont="1" applyAlignment="1">
      <alignment horizontal="left"/>
    </xf>
    <xf numFmtId="10" fontId="74" fillId="29" borderId="0" xfId="281" applyNumberFormat="1" applyFont="1" applyFill="1" applyAlignment="1" applyProtection="1">
      <alignment horizontal="center"/>
      <protection locked="0"/>
    </xf>
    <xf numFmtId="10" fontId="74" fillId="29" borderId="0" xfId="273" applyNumberFormat="1" applyFont="1" applyFill="1" applyAlignment="1" applyProtection="1">
      <alignment horizontal="center"/>
      <protection locked="0"/>
    </xf>
    <xf numFmtId="173" fontId="21" fillId="0" borderId="0" xfId="273" applyNumberFormat="1" applyFont="1"/>
    <xf numFmtId="0" fontId="21" fillId="0" borderId="0" xfId="273" applyFont="1" applyAlignment="1">
      <alignment horizontal="center" vertical="center"/>
    </xf>
    <xf numFmtId="0" fontId="21" fillId="0" borderId="0" xfId="273" applyFont="1" applyAlignment="1">
      <alignment vertical="center"/>
    </xf>
    <xf numFmtId="0" fontId="158" fillId="0" borderId="0" xfId="273" applyFont="1" applyAlignment="1">
      <alignment horizontal="right"/>
    </xf>
    <xf numFmtId="173" fontId="158" fillId="0" borderId="0" xfId="273" applyNumberFormat="1" applyFont="1"/>
    <xf numFmtId="0" fontId="21" fillId="0" borderId="0" xfId="273" applyFont="1" applyAlignment="1">
      <alignment horizontal="left" indent="2"/>
    </xf>
    <xf numFmtId="0" fontId="134" fillId="0" borderId="0" xfId="273" applyFont="1" applyAlignment="1">
      <alignment horizontal="center"/>
    </xf>
    <xf numFmtId="0" fontId="134" fillId="0" borderId="0" xfId="273" applyFont="1"/>
    <xf numFmtId="0" fontId="8" fillId="0" borderId="0" xfId="272" applyNumberFormat="1" applyFont="1" applyAlignment="1" applyProtection="1">
      <alignment horizontal="left" wrapText="1"/>
    </xf>
    <xf numFmtId="0" fontId="159" fillId="0" borderId="11" xfId="273" applyFont="1" applyBorder="1" applyAlignment="1">
      <alignment horizontal="center"/>
    </xf>
    <xf numFmtId="0" fontId="159" fillId="0" borderId="2" xfId="273" applyFont="1" applyBorder="1" applyAlignment="1">
      <alignment horizontal="center"/>
    </xf>
    <xf numFmtId="0" fontId="21" fillId="0" borderId="11" xfId="273" applyFont="1" applyBorder="1" applyAlignment="1">
      <alignment horizontal="center"/>
    </xf>
    <xf numFmtId="0" fontId="21" fillId="0" borderId="11" xfId="273" applyFont="1" applyBorder="1"/>
    <xf numFmtId="173" fontId="80" fillId="0" borderId="11" xfId="273" applyNumberFormat="1" applyFont="1" applyBorder="1" applyProtection="1">
      <protection locked="0"/>
    </xf>
    <xf numFmtId="173" fontId="74" fillId="0" borderId="11" xfId="273" applyNumberFormat="1" applyFont="1" applyBorder="1"/>
    <xf numFmtId="0" fontId="74" fillId="0" borderId="11" xfId="273" applyFont="1" applyBorder="1" applyAlignment="1" applyProtection="1">
      <alignment horizontal="center"/>
      <protection locked="0"/>
    </xf>
    <xf numFmtId="173" fontId="74" fillId="0" borderId="11" xfId="86" applyNumberFormat="1" applyFont="1" applyFill="1" applyBorder="1" applyAlignment="1" applyProtection="1">
      <alignment horizontal="center"/>
      <protection locked="0"/>
    </xf>
    <xf numFmtId="0" fontId="135" fillId="0" borderId="0" xfId="272" applyNumberFormat="1" applyFont="1" applyAlignment="1" applyProtection="1">
      <alignment horizontal="center"/>
    </xf>
    <xf numFmtId="172" fontId="155" fillId="0" borderId="0" xfId="272" applyFont="1" applyProtection="1"/>
    <xf numFmtId="0" fontId="11" fillId="29" borderId="0" xfId="90" applyNumberFormat="1" applyFont="1" applyFill="1" applyBorder="1" applyAlignment="1" applyProtection="1">
      <alignment horizontal="center"/>
      <protection locked="0"/>
    </xf>
    <xf numFmtId="41" fontId="11" fillId="29" borderId="0" xfId="265" applyNumberFormat="1" applyFont="1" applyFill="1"/>
    <xf numFmtId="3" fontId="9" fillId="0" borderId="0" xfId="272" applyNumberFormat="1" applyFont="1" applyAlignment="1" applyProtection="1">
      <alignment horizontal="center" vertical="center"/>
    </xf>
    <xf numFmtId="3" fontId="17" fillId="0" borderId="0" xfId="272" applyNumberFormat="1" applyFont="1" applyAlignment="1" applyProtection="1">
      <alignment horizontal="center"/>
    </xf>
    <xf numFmtId="41" fontId="8" fillId="0" borderId="40" xfId="272" applyNumberFormat="1" applyFont="1" applyBorder="1" applyProtection="1"/>
    <xf numFmtId="0" fontId="66" fillId="0" borderId="0" xfId="0" applyFont="1"/>
    <xf numFmtId="3" fontId="12" fillId="0" borderId="0" xfId="0" applyNumberFormat="1" applyFont="1" applyAlignment="1">
      <alignment horizontal="left"/>
    </xf>
    <xf numFmtId="0" fontId="15" fillId="0" borderId="0" xfId="0" applyFont="1" applyAlignment="1">
      <alignment horizontal="left"/>
    </xf>
    <xf numFmtId="0" fontId="16" fillId="0" borderId="0" xfId="0" applyFont="1" applyAlignment="1">
      <alignment horizontal="left"/>
    </xf>
    <xf numFmtId="0" fontId="15" fillId="0" borderId="0" xfId="0" applyFont="1" applyAlignment="1">
      <alignment vertical="top"/>
    </xf>
    <xf numFmtId="0" fontId="105" fillId="0" borderId="0" xfId="0" applyFont="1" applyAlignment="1">
      <alignment horizontal="center"/>
    </xf>
    <xf numFmtId="0" fontId="15" fillId="0" borderId="0" xfId="276" applyFont="1" applyAlignment="1">
      <alignment horizontal="center"/>
    </xf>
    <xf numFmtId="38" fontId="11" fillId="0" borderId="0" xfId="0" applyNumberFormat="1" applyFont="1" applyProtection="1">
      <protection locked="0"/>
    </xf>
    <xf numFmtId="0" fontId="9" fillId="0" borderId="0" xfId="264" applyFont="1"/>
    <xf numFmtId="0" fontId="76" fillId="0" borderId="0" xfId="273" applyFont="1" applyAlignment="1">
      <alignment vertical="center" wrapText="1"/>
    </xf>
    <xf numFmtId="0" fontId="9" fillId="0" borderId="0" xfId="263" quotePrefix="1" applyFont="1" applyAlignment="1">
      <alignment horizontal="center"/>
    </xf>
    <xf numFmtId="0" fontId="7" fillId="0" borderId="11" xfId="273" applyFont="1" applyBorder="1" applyAlignment="1">
      <alignment horizontal="center" wrapText="1"/>
    </xf>
    <xf numFmtId="0" fontId="7" fillId="0" borderId="11" xfId="273" applyFont="1" applyBorder="1" applyAlignment="1">
      <alignment horizontal="center" vertical="center"/>
    </xf>
    <xf numFmtId="183" fontId="7" fillId="0" borderId="11" xfId="273" applyNumberFormat="1" applyFont="1" applyBorder="1" applyAlignment="1">
      <alignment horizontal="center" vertical="center" wrapText="1"/>
    </xf>
    <xf numFmtId="0" fontId="7" fillId="0" borderId="11" xfId="273" applyFont="1" applyBorder="1" applyAlignment="1">
      <alignment horizontal="center" vertical="center" wrapText="1"/>
    </xf>
    <xf numFmtId="183" fontId="7" fillId="0" borderId="11" xfId="273" applyNumberFormat="1" applyFont="1" applyBorder="1" applyAlignment="1">
      <alignment horizontal="center" vertical="center"/>
    </xf>
    <xf numFmtId="0" fontId="15" fillId="0" borderId="0" xfId="0" applyFont="1" applyAlignment="1">
      <alignment vertical="center"/>
    </xf>
    <xf numFmtId="173" fontId="77" fillId="0" borderId="0" xfId="273" applyNumberFormat="1" applyFont="1" applyAlignment="1">
      <alignment vertical="center"/>
    </xf>
    <xf numFmtId="0" fontId="7" fillId="0" borderId="0" xfId="273" applyFont="1" applyAlignment="1">
      <alignment horizontal="right" vertical="center"/>
    </xf>
    <xf numFmtId="0" fontId="74" fillId="0" borderId="0" xfId="273" applyFont="1" applyAlignment="1">
      <alignment wrapText="1"/>
    </xf>
    <xf numFmtId="0" fontId="15" fillId="0" borderId="0" xfId="267" applyFont="1" applyAlignment="1">
      <alignment horizontal="left"/>
    </xf>
    <xf numFmtId="0" fontId="15" fillId="0" borderId="0" xfId="193" applyAlignment="1">
      <alignment wrapText="1"/>
    </xf>
    <xf numFmtId="173" fontId="74" fillId="0" borderId="0" xfId="86" applyNumberFormat="1" applyFont="1" applyFill="1" applyAlignment="1" applyProtection="1">
      <alignment horizontal="center"/>
      <protection locked="0"/>
    </xf>
    <xf numFmtId="0" fontId="15" fillId="0" borderId="0" xfId="175"/>
    <xf numFmtId="0" fontId="108" fillId="0" borderId="0" xfId="274" applyFont="1" applyProtection="1">
      <protection locked="0"/>
    </xf>
    <xf numFmtId="0" fontId="79" fillId="0" borderId="30" xfId="274" applyFont="1" applyBorder="1" applyAlignment="1">
      <alignment horizontal="center"/>
    </xf>
    <xf numFmtId="0" fontId="79" fillId="0" borderId="0" xfId="274" applyFont="1"/>
    <xf numFmtId="0" fontId="110" fillId="0" borderId="0" xfId="274" applyFont="1" applyProtection="1">
      <protection locked="0"/>
    </xf>
    <xf numFmtId="0" fontId="111" fillId="0" borderId="0" xfId="274" applyFont="1" applyProtection="1">
      <protection locked="0"/>
    </xf>
    <xf numFmtId="175" fontId="108" fillId="0" borderId="0" xfId="274" applyNumberFormat="1" applyFont="1" applyProtection="1">
      <protection locked="0"/>
    </xf>
    <xf numFmtId="0" fontId="108" fillId="0" borderId="16" xfId="274" applyFont="1" applyBorder="1" applyProtection="1">
      <protection locked="0"/>
    </xf>
    <xf numFmtId="0" fontId="113" fillId="0" borderId="0" xfId="274" applyFont="1" applyProtection="1">
      <protection locked="0"/>
    </xf>
    <xf numFmtId="0" fontId="114" fillId="0" borderId="0" xfId="274" applyFont="1"/>
    <xf numFmtId="0" fontId="115" fillId="0" borderId="0" xfId="274" applyFont="1"/>
    <xf numFmtId="0" fontId="8" fillId="0" borderId="0" xfId="271" applyFont="1"/>
    <xf numFmtId="0" fontId="15" fillId="0" borderId="0" xfId="271"/>
    <xf numFmtId="0" fontId="15" fillId="0" borderId="0" xfId="271" applyAlignment="1">
      <alignment horizontal="center"/>
    </xf>
    <xf numFmtId="0" fontId="137" fillId="0" borderId="0" xfId="274" applyFont="1" applyAlignment="1">
      <alignment horizontal="center"/>
    </xf>
    <xf numFmtId="0" fontId="15" fillId="0" borderId="0" xfId="175" applyAlignment="1">
      <alignment wrapText="1"/>
    </xf>
    <xf numFmtId="10" fontId="6" fillId="0" borderId="0" xfId="274" applyNumberFormat="1" applyAlignment="1">
      <alignment horizontal="center"/>
    </xf>
    <xf numFmtId="0" fontId="112" fillId="0" borderId="0" xfId="274" applyFont="1"/>
    <xf numFmtId="0" fontId="6" fillId="0" borderId="0" xfId="274" applyAlignment="1">
      <alignment horizontal="center"/>
    </xf>
    <xf numFmtId="10" fontId="6" fillId="0" borderId="0" xfId="274" applyNumberFormat="1" applyAlignment="1">
      <alignment horizontal="right"/>
    </xf>
    <xf numFmtId="193" fontId="79" fillId="0" borderId="0" xfId="274" applyNumberFormat="1" applyFont="1"/>
    <xf numFmtId="10" fontId="79" fillId="0" borderId="0" xfId="274" applyNumberFormat="1" applyFont="1"/>
    <xf numFmtId="0" fontId="112" fillId="0" borderId="30" xfId="274" applyFont="1" applyBorder="1"/>
    <xf numFmtId="0" fontId="108" fillId="0" borderId="30" xfId="274" applyFont="1" applyBorder="1" applyProtection="1">
      <protection locked="0"/>
    </xf>
    <xf numFmtId="10" fontId="6" fillId="0" borderId="30" xfId="274" applyNumberFormat="1" applyBorder="1"/>
    <xf numFmtId="0" fontId="8" fillId="0" borderId="0" xfId="0" applyFont="1" applyAlignment="1">
      <alignment horizontal="left" indent="1"/>
    </xf>
    <xf numFmtId="10" fontId="8" fillId="0" borderId="0" xfId="226" applyNumberFormat="1" applyFont="1" applyAlignment="1">
      <alignment horizontal="center"/>
    </xf>
    <xf numFmtId="0" fontId="9" fillId="0" borderId="0" xfId="193" applyFont="1" applyAlignment="1">
      <alignment horizontal="right"/>
    </xf>
    <xf numFmtId="10" fontId="8" fillId="0" borderId="0" xfId="226" applyNumberFormat="1" applyFont="1" applyAlignment="1">
      <alignment horizontal="right"/>
    </xf>
    <xf numFmtId="176" fontId="8" fillId="0" borderId="0" xfId="86" applyNumberFormat="1" applyFont="1" applyAlignment="1">
      <alignment horizontal="center"/>
    </xf>
    <xf numFmtId="0" fontId="15" fillId="0" borderId="32" xfId="0" applyFont="1" applyBorder="1" applyAlignment="1">
      <alignment horizontal="center"/>
    </xf>
    <xf numFmtId="0" fontId="15" fillId="0" borderId="31" xfId="275" applyBorder="1" applyAlignment="1">
      <alignment horizontal="right"/>
    </xf>
    <xf numFmtId="0" fontId="139" fillId="0" borderId="0" xfId="0" applyFont="1" applyAlignment="1">
      <alignment vertical="center"/>
    </xf>
    <xf numFmtId="0" fontId="140" fillId="0" borderId="0" xfId="0" applyFont="1"/>
    <xf numFmtId="0" fontId="135" fillId="0" borderId="0" xfId="0" applyFont="1"/>
    <xf numFmtId="0" fontId="135" fillId="0" borderId="0" xfId="0" applyFont="1" applyAlignment="1">
      <alignment horizontal="left"/>
    </xf>
    <xf numFmtId="0" fontId="135" fillId="0" borderId="0" xfId="222" applyFont="1" applyAlignment="1">
      <alignment horizontal="center"/>
    </xf>
    <xf numFmtId="0" fontId="140" fillId="0" borderId="0" xfId="0" applyFont="1" applyAlignment="1">
      <alignment horizontal="center"/>
    </xf>
    <xf numFmtId="0" fontId="141" fillId="0" borderId="0" xfId="222" applyFont="1"/>
    <xf numFmtId="0" fontId="135" fillId="0" borderId="0" xfId="222" applyFont="1" applyAlignment="1">
      <alignment horizontal="left"/>
    </xf>
    <xf numFmtId="0" fontId="135" fillId="0" borderId="0" xfId="222" applyFont="1"/>
    <xf numFmtId="3" fontId="135" fillId="0" borderId="0" xfId="0" applyNumberFormat="1" applyFont="1"/>
    <xf numFmtId="3" fontId="135" fillId="0" borderId="0" xfId="0" applyNumberFormat="1" applyFont="1" applyAlignment="1">
      <alignment horizontal="left"/>
    </xf>
    <xf numFmtId="0" fontId="142" fillId="0" borderId="0" xfId="0" applyFont="1" applyAlignment="1">
      <alignment horizontal="center"/>
    </xf>
    <xf numFmtId="0" fontId="143" fillId="0" borderId="0" xfId="0" applyFont="1"/>
    <xf numFmtId="0" fontId="142" fillId="0" borderId="0" xfId="0" applyFont="1" applyAlignment="1">
      <alignment wrapText="1"/>
    </xf>
    <xf numFmtId="0" fontId="142" fillId="0" borderId="0" xfId="0" applyFont="1"/>
    <xf numFmtId="41" fontId="140" fillId="0" borderId="0" xfId="0" applyNumberFormat="1" applyFont="1"/>
    <xf numFmtId="41" fontId="143" fillId="0" borderId="0" xfId="0" applyNumberFormat="1" applyFont="1"/>
    <xf numFmtId="0" fontId="144" fillId="0" borderId="0" xfId="0" applyFont="1" applyAlignment="1">
      <alignment horizontal="center"/>
    </xf>
    <xf numFmtId="0" fontId="145" fillId="0" borderId="0" xfId="0" applyFont="1" applyAlignment="1">
      <alignment horizontal="center"/>
    </xf>
    <xf numFmtId="0" fontId="146" fillId="0" borderId="0" xfId="0" applyFont="1" applyAlignment="1">
      <alignment horizontal="center"/>
    </xf>
    <xf numFmtId="173" fontId="140" fillId="0" borderId="0" xfId="0" applyNumberFormat="1" applyFont="1"/>
    <xf numFmtId="0" fontId="140" fillId="0" borderId="0" xfId="0" applyFont="1" applyAlignment="1">
      <alignment wrapText="1"/>
    </xf>
    <xf numFmtId="0" fontId="140" fillId="0" borderId="11" xfId="0" applyFont="1" applyBorder="1"/>
    <xf numFmtId="0" fontId="143" fillId="0" borderId="11" xfId="0" applyFont="1" applyBorder="1"/>
    <xf numFmtId="0" fontId="143" fillId="0" borderId="0" xfId="0" applyFont="1" applyAlignment="1">
      <alignment horizontal="center"/>
    </xf>
    <xf numFmtId="189" fontId="143" fillId="0" borderId="0" xfId="115" applyNumberFormat="1" applyFont="1" applyAlignment="1">
      <alignment horizontal="center"/>
    </xf>
    <xf numFmtId="173" fontId="140" fillId="0" borderId="14" xfId="0" applyNumberFormat="1" applyFont="1" applyBorder="1"/>
    <xf numFmtId="173" fontId="143" fillId="0" borderId="14" xfId="0" applyNumberFormat="1" applyFont="1" applyBorder="1"/>
    <xf numFmtId="41" fontId="140" fillId="0" borderId="14" xfId="0" applyNumberFormat="1" applyFont="1" applyBorder="1"/>
    <xf numFmtId="43" fontId="143" fillId="0" borderId="0" xfId="0" applyNumberFormat="1" applyFont="1"/>
    <xf numFmtId="0" fontId="143" fillId="0" borderId="0" xfId="0" applyFont="1" applyAlignment="1">
      <alignment wrapText="1"/>
    </xf>
    <xf numFmtId="0" fontId="148" fillId="0" borderId="0" xfId="0" applyFont="1" applyAlignment="1">
      <alignment horizontal="center" wrapText="1"/>
    </xf>
    <xf numFmtId="173" fontId="140" fillId="0" borderId="0" xfId="0" applyNumberFormat="1" applyFont="1" applyAlignment="1">
      <alignment wrapText="1"/>
    </xf>
    <xf numFmtId="0" fontId="142" fillId="0" borderId="0" xfId="0" applyFont="1" applyAlignment="1">
      <alignment horizontal="center" wrapText="1"/>
    </xf>
    <xf numFmtId="43" fontId="142" fillId="0" borderId="0" xfId="115" applyFont="1" applyAlignment="1">
      <alignment horizontal="center" wrapText="1"/>
    </xf>
    <xf numFmtId="173" fontId="140" fillId="0" borderId="0" xfId="115" applyNumberFormat="1" applyFont="1"/>
    <xf numFmtId="173" fontId="142" fillId="0" borderId="0" xfId="115" applyNumberFormat="1" applyFont="1" applyAlignment="1">
      <alignment horizontal="center" wrapText="1"/>
    </xf>
    <xf numFmtId="173" fontId="142" fillId="0" borderId="0" xfId="115" applyNumberFormat="1" applyFont="1"/>
    <xf numFmtId="173" fontId="142" fillId="0" borderId="0" xfId="115" applyNumberFormat="1" applyFont="1" applyAlignment="1">
      <alignment horizontal="center"/>
    </xf>
    <xf numFmtId="173" fontId="140" fillId="29" borderId="0" xfId="0" applyNumberFormat="1" applyFont="1" applyFill="1" applyProtection="1">
      <protection locked="0"/>
    </xf>
    <xf numFmtId="10" fontId="140" fillId="0" borderId="0" xfId="305" applyNumberFormat="1" applyFont="1"/>
    <xf numFmtId="173" fontId="140" fillId="29" borderId="11" xfId="0" applyNumberFormat="1" applyFont="1" applyFill="1" applyBorder="1" applyProtection="1">
      <protection locked="0"/>
    </xf>
    <xf numFmtId="173" fontId="140" fillId="0" borderId="11" xfId="0" applyNumberFormat="1" applyFont="1" applyBorder="1"/>
    <xf numFmtId="173" fontId="140" fillId="0" borderId="11" xfId="115" applyNumberFormat="1" applyFont="1" applyBorder="1"/>
    <xf numFmtId="0" fontId="8" fillId="0" borderId="0" xfId="272" applyNumberFormat="1" applyFont="1" applyAlignment="1" applyProtection="1">
      <alignment horizontal="left" indent="4"/>
    </xf>
    <xf numFmtId="41" fontId="22" fillId="0" borderId="0" xfId="272" applyNumberFormat="1" applyFont="1" applyProtection="1">
      <protection locked="0"/>
    </xf>
    <xf numFmtId="0" fontId="15" fillId="29" borderId="0" xfId="222" applyFill="1" applyProtection="1">
      <protection locked="0"/>
    </xf>
    <xf numFmtId="0" fontId="66" fillId="29" borderId="0" xfId="0" applyFont="1" applyFill="1" applyAlignment="1" applyProtection="1">
      <alignment horizontal="left"/>
      <protection locked="0"/>
    </xf>
    <xf numFmtId="0" fontId="22" fillId="29" borderId="0" xfId="265" applyFont="1" applyFill="1" applyAlignment="1" applyProtection="1">
      <alignment horizontal="center"/>
      <protection locked="0"/>
    </xf>
    <xf numFmtId="41" fontId="22" fillId="29" borderId="0" xfId="265" applyNumberFormat="1" applyFont="1" applyFill="1" applyProtection="1">
      <protection locked="0"/>
    </xf>
    <xf numFmtId="175" fontId="120" fillId="26" borderId="0" xfId="283" applyNumberFormat="1" applyFont="1" applyFill="1" applyProtection="1">
      <protection locked="0"/>
    </xf>
    <xf numFmtId="173" fontId="15" fillId="0" borderId="0" xfId="89" applyNumberFormat="1" applyFont="1" applyProtection="1"/>
    <xf numFmtId="173" fontId="15" fillId="0" borderId="0" xfId="89" applyNumberFormat="1" applyFont="1" applyBorder="1" applyProtection="1"/>
    <xf numFmtId="0" fontId="22" fillId="29" borderId="0" xfId="89" applyNumberFormat="1" applyFont="1" applyFill="1" applyAlignment="1" applyProtection="1">
      <alignment horizontal="left"/>
      <protection locked="0"/>
    </xf>
    <xf numFmtId="173" fontId="12" fillId="0" borderId="25" xfId="89" applyNumberFormat="1" applyFont="1" applyBorder="1" applyProtection="1"/>
    <xf numFmtId="0" fontId="8" fillId="0" borderId="0" xfId="89" applyNumberFormat="1" applyFont="1" applyFill="1" applyAlignment="1" applyProtection="1">
      <alignment horizontal="left"/>
    </xf>
    <xf numFmtId="0" fontId="8" fillId="0" borderId="0" xfId="89" applyNumberFormat="1" applyFont="1" applyFill="1" applyBorder="1" applyAlignment="1" applyProtection="1">
      <alignment horizontal="left"/>
    </xf>
    <xf numFmtId="0" fontId="9" fillId="0" borderId="0" xfId="89" applyNumberFormat="1" applyFont="1" applyFill="1" applyBorder="1" applyAlignment="1" applyProtection="1">
      <alignment horizontal="left"/>
    </xf>
    <xf numFmtId="173" fontId="12" fillId="0" borderId="29" xfId="89" applyNumberFormat="1" applyFont="1" applyBorder="1" applyProtection="1"/>
    <xf numFmtId="173" fontId="12" fillId="0" borderId="19" xfId="89" applyNumberFormat="1" applyFont="1" applyBorder="1" applyProtection="1"/>
    <xf numFmtId="173" fontId="15" fillId="0" borderId="6" xfId="89" applyNumberFormat="1" applyFont="1" applyBorder="1" applyProtection="1"/>
    <xf numFmtId="173" fontId="15" fillId="0" borderId="20" xfId="89" applyNumberFormat="1" applyFont="1" applyBorder="1" applyProtection="1"/>
    <xf numFmtId="173" fontId="152" fillId="29" borderId="18" xfId="89" applyNumberFormat="1" applyFont="1" applyFill="1" applyBorder="1" applyAlignment="1" applyProtection="1">
      <alignment horizontal="right"/>
      <protection locked="0"/>
    </xf>
    <xf numFmtId="173" fontId="11" fillId="29" borderId="18" xfId="89" applyNumberFormat="1" applyFont="1" applyFill="1" applyBorder="1" applyAlignment="1" applyProtection="1">
      <alignment horizontal="right"/>
      <protection locked="0"/>
    </xf>
    <xf numFmtId="173" fontId="12" fillId="0" borderId="0" xfId="89" applyNumberFormat="1" applyFont="1" applyBorder="1" applyAlignment="1" applyProtection="1">
      <alignment horizontal="center" wrapText="1"/>
    </xf>
    <xf numFmtId="173" fontId="12" fillId="0" borderId="26" xfId="89" applyNumberFormat="1" applyFont="1" applyBorder="1" applyAlignment="1" applyProtection="1">
      <alignment horizontal="center" wrapText="1"/>
    </xf>
    <xf numFmtId="173" fontId="12" fillId="0" borderId="25" xfId="89" applyNumberFormat="1" applyFont="1" applyBorder="1" applyAlignment="1" applyProtection="1">
      <alignment horizontal="center" wrapText="1"/>
    </xf>
    <xf numFmtId="173" fontId="12" fillId="28" borderId="26" xfId="89" applyNumberFormat="1" applyFont="1" applyFill="1" applyBorder="1" applyAlignment="1" applyProtection="1">
      <alignment horizontal="center" wrapText="1"/>
    </xf>
    <xf numFmtId="173" fontId="12" fillId="0" borderId="28" xfId="89" applyNumberFormat="1" applyFont="1" applyBorder="1" applyAlignment="1" applyProtection="1">
      <alignment horizontal="center"/>
    </xf>
    <xf numFmtId="173" fontId="12" fillId="0" borderId="20" xfId="89" applyNumberFormat="1" applyFont="1" applyBorder="1" applyAlignment="1" applyProtection="1">
      <alignment horizontal="center"/>
    </xf>
    <xf numFmtId="173" fontId="12" fillId="28" borderId="28" xfId="89" applyNumberFormat="1" applyFont="1" applyFill="1" applyBorder="1" applyAlignment="1" applyProtection="1">
      <alignment horizontal="center"/>
    </xf>
    <xf numFmtId="173" fontId="15" fillId="0" borderId="27" xfId="89" applyNumberFormat="1" applyFont="1" applyBorder="1" applyProtection="1"/>
    <xf numFmtId="173" fontId="15" fillId="0" borderId="27" xfId="98" applyNumberFormat="1" applyFont="1" applyFill="1" applyBorder="1" applyProtection="1"/>
    <xf numFmtId="173" fontId="15" fillId="0" borderId="18" xfId="98" applyNumberFormat="1" applyFont="1" applyFill="1" applyBorder="1" applyProtection="1"/>
    <xf numFmtId="173" fontId="15" fillId="0" borderId="18" xfId="89" applyNumberFormat="1" applyFont="1" applyBorder="1" applyProtection="1"/>
    <xf numFmtId="0" fontId="15" fillId="30" borderId="27" xfId="0" applyFont="1" applyFill="1" applyBorder="1" applyAlignment="1">
      <alignment horizontal="center"/>
    </xf>
    <xf numFmtId="173" fontId="15" fillId="26" borderId="0" xfId="0" applyNumberFormat="1" applyFont="1" applyFill="1"/>
    <xf numFmtId="173" fontId="15" fillId="26" borderId="27" xfId="0" applyNumberFormat="1" applyFont="1" applyFill="1" applyBorder="1"/>
    <xf numFmtId="173" fontId="15" fillId="26" borderId="27" xfId="89" applyNumberFormat="1" applyFont="1" applyFill="1" applyBorder="1" applyProtection="1"/>
    <xf numFmtId="173" fontId="15" fillId="26" borderId="18" xfId="89" applyNumberFormat="1" applyFont="1" applyFill="1" applyBorder="1" applyProtection="1"/>
    <xf numFmtId="173" fontId="15" fillId="0" borderId="27" xfId="89" applyNumberFormat="1" applyFont="1" applyFill="1" applyBorder="1" applyProtection="1"/>
    <xf numFmtId="173" fontId="15" fillId="0" borderId="28" xfId="89" applyNumberFormat="1" applyFont="1" applyBorder="1" applyProtection="1"/>
    <xf numFmtId="173" fontId="15" fillId="0" borderId="0" xfId="89" applyNumberFormat="1" applyProtection="1"/>
    <xf numFmtId="174" fontId="152" fillId="29" borderId="27" xfId="0" applyNumberFormat="1" applyFont="1" applyFill="1" applyBorder="1" applyProtection="1">
      <protection locked="0"/>
    </xf>
    <xf numFmtId="174" fontId="154" fillId="28" borderId="27" xfId="0" applyNumberFormat="1" applyFont="1" applyFill="1" applyBorder="1"/>
    <xf numFmtId="174" fontId="15" fillId="26" borderId="27" xfId="0" applyNumberFormat="1" applyFont="1" applyFill="1" applyBorder="1"/>
    <xf numFmtId="173" fontId="15" fillId="0" borderId="26" xfId="89" applyNumberFormat="1" applyFont="1" applyBorder="1" applyProtection="1"/>
    <xf numFmtId="173" fontId="12" fillId="0" borderId="27" xfId="89" applyNumberFormat="1" applyFont="1" applyBorder="1" applyAlignment="1" applyProtection="1">
      <alignment horizontal="center"/>
    </xf>
    <xf numFmtId="174" fontId="15" fillId="0" borderId="17" xfId="0" applyNumberFormat="1" applyFont="1" applyBorder="1"/>
    <xf numFmtId="174" fontId="11" fillId="29" borderId="0" xfId="0" applyNumberFormat="1" applyFont="1" applyFill="1" applyProtection="1">
      <protection locked="0"/>
    </xf>
    <xf numFmtId="174" fontId="15" fillId="28" borderId="15" xfId="0" applyNumberFormat="1" applyFont="1" applyFill="1" applyBorder="1"/>
    <xf numFmtId="174" fontId="15" fillId="28" borderId="25" xfId="0" applyNumberFormat="1" applyFont="1" applyFill="1" applyBorder="1"/>
    <xf numFmtId="174" fontId="15" fillId="28" borderId="0" xfId="0" applyNumberFormat="1" applyFont="1" applyFill="1"/>
    <xf numFmtId="174" fontId="15" fillId="28" borderId="18" xfId="0" applyNumberFormat="1" applyFont="1" applyFill="1" applyBorder="1"/>
    <xf numFmtId="174" fontId="11" fillId="29" borderId="21" xfId="0" applyNumberFormat="1" applyFont="1" applyFill="1" applyBorder="1" applyProtection="1">
      <protection locked="0"/>
    </xf>
    <xf numFmtId="174" fontId="11" fillId="29" borderId="25" xfId="0" applyNumberFormat="1" applyFont="1" applyFill="1" applyBorder="1" applyProtection="1">
      <protection locked="0"/>
    </xf>
    <xf numFmtId="174" fontId="154" fillId="29" borderId="27" xfId="0" applyNumberFormat="1" applyFont="1" applyFill="1" applyBorder="1" applyProtection="1">
      <protection locked="0"/>
    </xf>
    <xf numFmtId="173" fontId="12" fillId="28" borderId="27" xfId="89" applyNumberFormat="1" applyFont="1" applyFill="1" applyBorder="1" applyAlignment="1" applyProtection="1">
      <alignment horizontal="center"/>
    </xf>
    <xf numFmtId="174" fontId="15" fillId="30" borderId="27" xfId="0" applyNumberFormat="1" applyFont="1" applyFill="1" applyBorder="1"/>
    <xf numFmtId="0" fontId="15" fillId="26" borderId="27" xfId="0" applyFont="1" applyFill="1" applyBorder="1" applyAlignment="1">
      <alignment horizontal="center"/>
    </xf>
    <xf numFmtId="0" fontId="152" fillId="29" borderId="18" xfId="89" applyNumberFormat="1" applyFont="1" applyFill="1" applyBorder="1" applyAlignment="1" applyProtection="1">
      <alignment horizontal="right"/>
      <protection locked="0"/>
    </xf>
    <xf numFmtId="173" fontId="15" fillId="26" borderId="28" xfId="0" applyNumberFormat="1" applyFont="1" applyFill="1" applyBorder="1"/>
    <xf numFmtId="10" fontId="8" fillId="30" borderId="0" xfId="272" applyNumberFormat="1" applyFont="1" applyFill="1" applyProtection="1"/>
    <xf numFmtId="173" fontId="21" fillId="0" borderId="11" xfId="273" applyNumberFormat="1" applyFont="1" applyBorder="1" applyAlignment="1">
      <alignment vertical="center"/>
    </xf>
    <xf numFmtId="174" fontId="11" fillId="27" borderId="10" xfId="0" applyNumberFormat="1" applyFont="1" applyFill="1" applyBorder="1"/>
    <xf numFmtId="9" fontId="8" fillId="0" borderId="0" xfId="0" applyNumberFormat="1" applyFont="1"/>
    <xf numFmtId="164" fontId="140" fillId="26" borderId="0" xfId="283" applyNumberFormat="1" applyFont="1" applyFill="1" applyProtection="1">
      <protection locked="0"/>
    </xf>
    <xf numFmtId="3" fontId="66" fillId="29" borderId="0" xfId="0" quotePrefix="1" applyNumberFormat="1" applyFont="1" applyFill="1" applyProtection="1">
      <protection locked="0"/>
    </xf>
    <xf numFmtId="3" fontId="27" fillId="0" borderId="43" xfId="222" applyNumberFormat="1" applyFont="1" applyBorder="1" applyAlignment="1">
      <alignment wrapText="1"/>
    </xf>
    <xf numFmtId="173" fontId="15" fillId="0" borderId="47" xfId="0" applyNumberFormat="1" applyFont="1" applyBorder="1"/>
    <xf numFmtId="0" fontId="80" fillId="29" borderId="0" xfId="273" applyFont="1" applyFill="1" applyProtection="1">
      <protection locked="0"/>
    </xf>
    <xf numFmtId="41" fontId="11" fillId="0" borderId="0" xfId="263" applyNumberFormat="1" applyFont="1" applyProtection="1">
      <protection locked="0"/>
    </xf>
    <xf numFmtId="198" fontId="9" fillId="0" borderId="0" xfId="272" applyNumberFormat="1" applyFont="1" applyProtection="1"/>
    <xf numFmtId="0" fontId="9" fillId="0" borderId="0" xfId="273" applyFont="1"/>
    <xf numFmtId="0" fontId="13" fillId="0" borderId="0" xfId="273" applyFont="1"/>
    <xf numFmtId="173" fontId="86" fillId="0" borderId="0" xfId="273" applyNumberFormat="1" applyFont="1"/>
    <xf numFmtId="183" fontId="22" fillId="0" borderId="0" xfId="273" applyNumberFormat="1" applyFont="1"/>
    <xf numFmtId="39" fontId="8" fillId="0" borderId="0" xfId="269" applyNumberFormat="1" applyFont="1"/>
    <xf numFmtId="173" fontId="8" fillId="0" borderId="14" xfId="86" applyNumberFormat="1" applyFont="1" applyBorder="1"/>
    <xf numFmtId="0" fontId="17" fillId="0" borderId="0" xfId="273" applyFont="1" applyAlignment="1">
      <alignment horizontal="center"/>
    </xf>
    <xf numFmtId="0" fontId="160" fillId="0" borderId="0" xfId="273" applyFont="1"/>
    <xf numFmtId="41" fontId="160" fillId="0" borderId="0" xfId="273" applyNumberFormat="1" applyFont="1"/>
    <xf numFmtId="41" fontId="8" fillId="0" borderId="0" xfId="273" applyNumberFormat="1" applyFont="1"/>
    <xf numFmtId="10" fontId="8" fillId="0" borderId="0" xfId="283" applyNumberFormat="1" applyFont="1" applyFill="1"/>
    <xf numFmtId="164" fontId="8" fillId="0" borderId="0" xfId="283" applyNumberFormat="1" applyFont="1" applyFill="1"/>
    <xf numFmtId="10" fontId="22" fillId="29" borderId="11" xfId="283" applyNumberFormat="1" applyFont="1" applyFill="1" applyBorder="1" applyProtection="1">
      <protection locked="0"/>
    </xf>
    <xf numFmtId="41" fontId="22" fillId="29" borderId="11" xfId="273" applyNumberFormat="1" applyFont="1" applyFill="1" applyBorder="1" applyProtection="1">
      <protection locked="0"/>
    </xf>
    <xf numFmtId="41" fontId="161" fillId="31" borderId="0" xfId="273" applyNumberFormat="1" applyFont="1" applyFill="1"/>
    <xf numFmtId="0" fontId="162" fillId="0" borderId="0" xfId="273" applyFont="1"/>
    <xf numFmtId="10" fontId="8" fillId="0" borderId="11" xfId="283" applyNumberFormat="1" applyFont="1" applyFill="1" applyBorder="1"/>
    <xf numFmtId="173" fontId="8" fillId="0" borderId="0" xfId="89" applyNumberFormat="1" applyFont="1" applyFill="1"/>
    <xf numFmtId="10" fontId="8" fillId="0" borderId="0" xfId="283" applyNumberFormat="1" applyFont="1" applyFill="1" applyBorder="1"/>
    <xf numFmtId="9" fontId="8" fillId="0" borderId="0" xfId="283" applyFont="1" applyFill="1"/>
    <xf numFmtId="41" fontId="8" fillId="26" borderId="0" xfId="273" applyNumberFormat="1" applyFont="1" applyFill="1"/>
    <xf numFmtId="0" fontId="8" fillId="26" borderId="0" xfId="273" applyFont="1" applyFill="1"/>
    <xf numFmtId="10" fontId="8" fillId="26" borderId="0" xfId="283" applyNumberFormat="1" applyFont="1" applyFill="1" applyBorder="1"/>
    <xf numFmtId="10" fontId="8" fillId="26" borderId="0" xfId="283" applyNumberFormat="1" applyFont="1" applyFill="1"/>
    <xf numFmtId="41" fontId="161" fillId="28" borderId="0" xfId="273" applyNumberFormat="1" applyFont="1" applyFill="1"/>
    <xf numFmtId="10" fontId="8" fillId="26" borderId="11" xfId="283" applyNumberFormat="1" applyFont="1" applyFill="1" applyBorder="1"/>
    <xf numFmtId="173" fontId="8" fillId="26" borderId="0" xfId="89" applyNumberFormat="1" applyFont="1" applyFill="1"/>
    <xf numFmtId="41" fontId="21" fillId="32" borderId="0" xfId="273" applyNumberFormat="1" applyFont="1" applyFill="1"/>
    <xf numFmtId="0" fontId="21" fillId="32" borderId="0" xfId="273" applyFont="1" applyFill="1"/>
    <xf numFmtId="173" fontId="21" fillId="0" borderId="0" xfId="89" applyNumberFormat="1" applyFont="1" applyFill="1" applyBorder="1"/>
    <xf numFmtId="41" fontId="21" fillId="0" borderId="0" xfId="273" applyNumberFormat="1" applyFont="1"/>
    <xf numFmtId="173" fontId="147" fillId="33" borderId="0" xfId="116" applyNumberFormat="1" applyFont="1" applyFill="1" applyProtection="1">
      <protection locked="0"/>
    </xf>
    <xf numFmtId="41" fontId="143" fillId="0" borderId="0" xfId="356" applyNumberFormat="1" applyFont="1"/>
    <xf numFmtId="0" fontId="22" fillId="29" borderId="0" xfId="263" quotePrefix="1" applyFont="1" applyFill="1" applyAlignment="1" applyProtection="1">
      <alignment horizontal="center"/>
      <protection locked="0"/>
    </xf>
    <xf numFmtId="0" fontId="112" fillId="0" borderId="16" xfId="0" applyFont="1" applyBorder="1"/>
    <xf numFmtId="0" fontId="108" fillId="0" borderId="16" xfId="0" applyFont="1" applyBorder="1" applyProtection="1">
      <protection locked="0"/>
    </xf>
    <xf numFmtId="10" fontId="0" fillId="0" borderId="16" xfId="0" applyNumberFormat="1" applyBorder="1"/>
    <xf numFmtId="191" fontId="0" fillId="0" borderId="16" xfId="0" applyNumberFormat="1" applyBorder="1"/>
    <xf numFmtId="175" fontId="0" fillId="0" borderId="16" xfId="0" applyNumberFormat="1" applyBorder="1"/>
    <xf numFmtId="175" fontId="0" fillId="0" borderId="16" xfId="0" applyNumberFormat="1" applyBorder="1" applyAlignment="1">
      <alignment horizontal="center"/>
    </xf>
    <xf numFmtId="0" fontId="112" fillId="0" borderId="30" xfId="0" applyFont="1" applyBorder="1"/>
    <xf numFmtId="0" fontId="108" fillId="0" borderId="30" xfId="0" applyFont="1" applyBorder="1" applyProtection="1">
      <protection locked="0"/>
    </xf>
    <xf numFmtId="10" fontId="0" fillId="0" borderId="30" xfId="0" applyNumberFormat="1" applyBorder="1"/>
    <xf numFmtId="191" fontId="0" fillId="0" borderId="30" xfId="0" applyNumberFormat="1" applyBorder="1"/>
    <xf numFmtId="175" fontId="0" fillId="0" borderId="30" xfId="0" applyNumberFormat="1" applyBorder="1"/>
    <xf numFmtId="0" fontId="27" fillId="0" borderId="0" xfId="357" applyFont="1"/>
    <xf numFmtId="0" fontId="27" fillId="0" borderId="0" xfId="357" applyFont="1" applyAlignment="1">
      <alignment horizontal="center"/>
    </xf>
    <xf numFmtId="0" fontId="27" fillId="0" borderId="0" xfId="175" applyFont="1"/>
    <xf numFmtId="0" fontId="27" fillId="0" borderId="0" xfId="357" applyFont="1" applyAlignment="1">
      <alignment horizontal="left"/>
    </xf>
    <xf numFmtId="0" fontId="27" fillId="0" borderId="0" xfId="357" applyFont="1" applyAlignment="1">
      <alignment horizontal="left" vertical="center"/>
    </xf>
    <xf numFmtId="172" fontId="165" fillId="0" borderId="0" xfId="362"/>
    <xf numFmtId="0" fontId="27" fillId="0" borderId="0" xfId="366" applyFont="1"/>
    <xf numFmtId="0" fontId="27" fillId="0" borderId="0" xfId="366" applyFont="1" applyAlignment="1">
      <alignment horizontal="center"/>
    </xf>
    <xf numFmtId="14" fontId="27" fillId="0" borderId="0" xfId="366" applyNumberFormat="1" applyFont="1"/>
    <xf numFmtId="9" fontId="27" fillId="0" borderId="0" xfId="358" applyFont="1"/>
    <xf numFmtId="41" fontId="27" fillId="0" borderId="0" xfId="366" applyNumberFormat="1" applyFont="1"/>
    <xf numFmtId="172" fontId="27" fillId="0" borderId="0" xfId="362" applyFont="1"/>
    <xf numFmtId="0" fontId="28" fillId="0" borderId="0" xfId="366" applyFont="1"/>
    <xf numFmtId="0" fontId="27" fillId="0" borderId="11" xfId="366" applyFont="1" applyBorder="1"/>
    <xf numFmtId="0" fontId="28" fillId="0" borderId="0" xfId="366" applyFont="1" applyAlignment="1">
      <alignment horizontal="center"/>
    </xf>
    <xf numFmtId="0" fontId="28" fillId="0" borderId="0" xfId="366" applyFont="1" applyAlignment="1">
      <alignment horizontal="center" wrapText="1"/>
    </xf>
    <xf numFmtId="0" fontId="28" fillId="0" borderId="0" xfId="366" applyFont="1" applyAlignment="1">
      <alignment horizontal="left"/>
    </xf>
    <xf numFmtId="0" fontId="27" fillId="34" borderId="0" xfId="366" applyFont="1" applyFill="1"/>
    <xf numFmtId="41" fontId="27" fillId="33" borderId="54" xfId="265" applyNumberFormat="1" applyFont="1" applyFill="1" applyBorder="1" applyProtection="1">
      <protection locked="0"/>
    </xf>
    <xf numFmtId="173" fontId="27" fillId="35" borderId="54" xfId="367" applyNumberFormat="1" applyFont="1" applyFill="1" applyBorder="1"/>
    <xf numFmtId="173" fontId="27" fillId="0" borderId="55" xfId="367" applyNumberFormat="1" applyFont="1" applyFill="1" applyBorder="1"/>
    <xf numFmtId="173" fontId="27" fillId="0" borderId="54" xfId="367" applyNumberFormat="1" applyFont="1" applyFill="1" applyBorder="1"/>
    <xf numFmtId="41" fontId="27" fillId="33" borderId="0" xfId="265" applyNumberFormat="1" applyFont="1" applyFill="1" applyProtection="1">
      <protection locked="0"/>
    </xf>
    <xf numFmtId="41" fontId="27" fillId="0" borderId="0" xfId="366" applyNumberFormat="1" applyFont="1" applyAlignment="1">
      <alignment horizontal="center"/>
    </xf>
    <xf numFmtId="173" fontId="27" fillId="35" borderId="55" xfId="367" applyNumberFormat="1" applyFont="1" applyFill="1" applyBorder="1"/>
    <xf numFmtId="173" fontId="27" fillId="0" borderId="0" xfId="361" applyNumberFormat="1" applyFont="1" applyBorder="1" applyAlignment="1">
      <alignment horizontal="center"/>
    </xf>
    <xf numFmtId="173" fontId="27" fillId="0" borderId="0" xfId="367" applyNumberFormat="1" applyFont="1" applyFill="1" applyBorder="1"/>
    <xf numFmtId="0" fontId="27" fillId="0" borderId="0" xfId="366" applyFont="1" applyAlignment="1">
      <alignment wrapText="1"/>
    </xf>
    <xf numFmtId="173" fontId="27" fillId="35" borderId="0" xfId="367" applyNumberFormat="1" applyFont="1" applyFill="1" applyBorder="1"/>
    <xf numFmtId="41" fontId="27" fillId="33" borderId="56" xfId="265" applyNumberFormat="1" applyFont="1" applyFill="1" applyBorder="1" applyProtection="1">
      <protection locked="0"/>
    </xf>
    <xf numFmtId="173" fontId="27" fillId="0" borderId="0" xfId="367" applyNumberFormat="1" applyFont="1" applyBorder="1" applyAlignment="1">
      <alignment wrapText="1"/>
    </xf>
    <xf numFmtId="1" fontId="27" fillId="0" borderId="57" xfId="361" applyNumberFormat="1" applyFont="1" applyBorder="1" applyAlignment="1"/>
    <xf numFmtId="173" fontId="27" fillId="0" borderId="0" xfId="367" applyNumberFormat="1" applyFont="1" applyAlignment="1">
      <alignment wrapText="1"/>
    </xf>
    <xf numFmtId="1" fontId="27" fillId="0" borderId="0" xfId="361" applyNumberFormat="1" applyFont="1" applyBorder="1" applyAlignment="1"/>
    <xf numFmtId="176" fontId="27" fillId="0" borderId="0" xfId="361" applyNumberFormat="1" applyFont="1" applyBorder="1" applyAlignment="1"/>
    <xf numFmtId="173" fontId="27" fillId="0" borderId="53" xfId="361" applyNumberFormat="1" applyFont="1" applyBorder="1" applyAlignment="1">
      <alignment horizontal="center"/>
    </xf>
    <xf numFmtId="173" fontId="27" fillId="0" borderId="0" xfId="361" applyNumberFormat="1" applyFont="1" applyBorder="1" applyAlignment="1"/>
    <xf numFmtId="0" fontId="27" fillId="0" borderId="0" xfId="366" applyFont="1" applyAlignment="1">
      <alignment horizontal="left" vertical="center"/>
    </xf>
    <xf numFmtId="173" fontId="27" fillId="0" borderId="0" xfId="366" applyNumberFormat="1" applyFont="1"/>
    <xf numFmtId="0" fontId="27" fillId="0" borderId="0" xfId="366" applyFont="1" applyAlignment="1">
      <alignment horizontal="left"/>
    </xf>
    <xf numFmtId="0" fontId="28" fillId="0" borderId="0" xfId="366" applyFont="1" applyAlignment="1">
      <alignment horizontal="left" vertical="center"/>
    </xf>
    <xf numFmtId="173" fontId="27" fillId="0" borderId="0" xfId="366" applyNumberFormat="1" applyFont="1" applyAlignment="1">
      <alignment horizontal="left" vertical="center"/>
    </xf>
    <xf numFmtId="49" fontId="27" fillId="0" borderId="0" xfId="366" applyNumberFormat="1" applyFont="1" applyAlignment="1">
      <alignment horizontal="center"/>
    </xf>
    <xf numFmtId="41" fontId="27" fillId="33" borderId="34" xfId="265" applyNumberFormat="1" applyFont="1" applyFill="1" applyBorder="1" applyAlignment="1" applyProtection="1">
      <alignment vertical="top"/>
      <protection locked="0"/>
    </xf>
    <xf numFmtId="0" fontId="15" fillId="0" borderId="0" xfId="366" applyFont="1" applyAlignment="1">
      <alignment horizontal="right"/>
    </xf>
    <xf numFmtId="41" fontId="27" fillId="33" borderId="51" xfId="265" applyNumberFormat="1" applyFont="1" applyFill="1" applyBorder="1" applyProtection="1">
      <protection locked="0"/>
    </xf>
    <xf numFmtId="173" fontId="27" fillId="35" borderId="51" xfId="367" applyNumberFormat="1" applyFont="1" applyFill="1" applyBorder="1"/>
    <xf numFmtId="173" fontId="27" fillId="0" borderId="52" xfId="367" applyNumberFormat="1" applyFont="1" applyFill="1" applyBorder="1"/>
    <xf numFmtId="41" fontId="27" fillId="33" borderId="43" xfId="265" applyNumberFormat="1" applyFont="1" applyFill="1" applyBorder="1" applyProtection="1">
      <protection locked="0"/>
    </xf>
    <xf numFmtId="172" fontId="27" fillId="0" borderId="0" xfId="175" applyNumberFormat="1" applyFont="1"/>
    <xf numFmtId="172" fontId="167" fillId="0" borderId="0" xfId="362" applyFont="1"/>
    <xf numFmtId="173" fontId="27" fillId="0" borderId="57" xfId="361" applyNumberFormat="1" applyFont="1" applyFill="1" applyBorder="1" applyAlignment="1"/>
    <xf numFmtId="164" fontId="140" fillId="26" borderId="11" xfId="283" applyNumberFormat="1" applyFont="1" applyFill="1" applyBorder="1" applyProtection="1">
      <protection locked="0"/>
    </xf>
    <xf numFmtId="175" fontId="120" fillId="33" borderId="0" xfId="283" applyNumberFormat="1" applyFont="1" applyFill="1" applyProtection="1">
      <protection locked="0"/>
    </xf>
    <xf numFmtId="173" fontId="15" fillId="0" borderId="0" xfId="273" applyNumberFormat="1" applyFont="1"/>
    <xf numFmtId="5" fontId="22" fillId="29" borderId="11" xfId="273" applyNumberFormat="1" applyFont="1" applyFill="1" applyBorder="1" applyProtection="1">
      <protection locked="0"/>
    </xf>
    <xf numFmtId="10" fontId="0" fillId="0" borderId="16" xfId="0" applyNumberFormat="1" applyBorder="1" applyAlignment="1">
      <alignment horizontal="center"/>
    </xf>
    <xf numFmtId="0" fontId="112" fillId="0" borderId="0" xfId="0" applyFont="1"/>
    <xf numFmtId="0" fontId="108" fillId="0" borderId="0" xfId="0" applyFont="1" applyProtection="1">
      <protection locked="0"/>
    </xf>
    <xf numFmtId="0" fontId="169" fillId="0" borderId="0" xfId="0" applyFont="1" applyAlignment="1">
      <alignment horizontal="center"/>
    </xf>
    <xf numFmtId="0" fontId="5" fillId="0" borderId="0" xfId="0" applyFont="1" applyAlignment="1">
      <alignment horizontal="center"/>
    </xf>
    <xf numFmtId="0" fontId="12" fillId="0" borderId="0" xfId="266" applyFont="1" applyAlignment="1">
      <alignment horizontal="center" wrapText="1"/>
    </xf>
    <xf numFmtId="0" fontId="11" fillId="33" borderId="0" xfId="265" applyFont="1" applyFill="1" applyProtection="1">
      <protection locked="0"/>
    </xf>
    <xf numFmtId="173" fontId="11" fillId="33" borderId="0" xfId="89" applyNumberFormat="1" applyFont="1" applyFill="1" applyBorder="1" applyProtection="1">
      <protection locked="0"/>
    </xf>
    <xf numFmtId="195" fontId="11" fillId="33" borderId="0" xfId="266" applyNumberFormat="1" applyFont="1" applyFill="1" applyProtection="1">
      <protection locked="0"/>
    </xf>
    <xf numFmtId="2" fontId="5" fillId="0" borderId="0" xfId="368" applyNumberFormat="1" applyFont="1"/>
    <xf numFmtId="172" fontId="5" fillId="0" borderId="0" xfId="368" applyFont="1"/>
    <xf numFmtId="172" fontId="8" fillId="0" borderId="0" xfId="368" applyFont="1" applyAlignment="1">
      <alignment horizontal="right"/>
    </xf>
    <xf numFmtId="172" fontId="27" fillId="0" borderId="0" xfId="369" applyFont="1" applyAlignment="1">
      <alignment horizontal="right"/>
    </xf>
    <xf numFmtId="173" fontId="5" fillId="0" borderId="0" xfId="370" applyNumberFormat="1" applyFont="1"/>
    <xf numFmtId="172" fontId="5" fillId="0" borderId="0" xfId="368" applyFont="1" applyAlignment="1">
      <alignment horizontal="right"/>
    </xf>
    <xf numFmtId="172" fontId="5" fillId="0" borderId="0" xfId="369" applyFont="1" applyAlignment="1">
      <alignment horizontal="right"/>
    </xf>
    <xf numFmtId="2" fontId="5" fillId="0" borderId="0" xfId="368" applyNumberFormat="1" applyFont="1" applyAlignment="1">
      <alignment horizontal="center"/>
    </xf>
    <xf numFmtId="172" fontId="5" fillId="0" borderId="0" xfId="368" applyFont="1" applyAlignment="1">
      <alignment horizontal="center"/>
    </xf>
    <xf numFmtId="172" fontId="5" fillId="0" borderId="0" xfId="368" applyFont="1" applyAlignment="1">
      <alignment wrapText="1"/>
    </xf>
    <xf numFmtId="172" fontId="5" fillId="0" borderId="0" xfId="368" applyFont="1" applyAlignment="1">
      <alignment horizontal="center" wrapText="1"/>
    </xf>
    <xf numFmtId="172" fontId="6" fillId="0" borderId="0" xfId="368"/>
    <xf numFmtId="2" fontId="12" fillId="0" borderId="0" xfId="368" applyNumberFormat="1" applyFont="1"/>
    <xf numFmtId="173" fontId="5" fillId="0" borderId="0" xfId="370" applyNumberFormat="1" applyFont="1" applyFill="1"/>
    <xf numFmtId="1" fontId="5" fillId="0" borderId="0" xfId="368" applyNumberFormat="1" applyFont="1" applyAlignment="1">
      <alignment horizontal="center"/>
    </xf>
    <xf numFmtId="49" fontId="5" fillId="0" borderId="0" xfId="370" applyNumberFormat="1" applyFont="1"/>
    <xf numFmtId="170" fontId="5" fillId="0" borderId="0" xfId="368" applyNumberFormat="1" applyFont="1"/>
    <xf numFmtId="170" fontId="5" fillId="0" borderId="11" xfId="368" applyNumberFormat="1" applyFont="1" applyBorder="1"/>
    <xf numFmtId="172" fontId="6" fillId="0" borderId="0" xfId="368" applyAlignment="1">
      <alignment horizontal="center"/>
    </xf>
    <xf numFmtId="9" fontId="5" fillId="0" borderId="0" xfId="371" applyFont="1" applyFill="1" applyAlignment="1">
      <alignment horizontal="center"/>
    </xf>
    <xf numFmtId="10" fontId="5" fillId="0" borderId="0" xfId="371" applyNumberFormat="1" applyFont="1" applyFill="1" applyAlignment="1"/>
    <xf numFmtId="9" fontId="5" fillId="0" borderId="0" xfId="371" applyFont="1" applyFill="1"/>
    <xf numFmtId="9" fontId="5" fillId="0" borderId="0" xfId="370" applyNumberFormat="1" applyFont="1" applyFill="1" applyAlignment="1">
      <alignment horizontal="center"/>
    </xf>
    <xf numFmtId="9" fontId="5" fillId="0" borderId="0" xfId="368" applyNumberFormat="1" applyFont="1" applyAlignment="1">
      <alignment horizontal="center"/>
    </xf>
    <xf numFmtId="173" fontId="5" fillId="0" borderId="11" xfId="370" applyNumberFormat="1" applyFont="1" applyBorder="1"/>
    <xf numFmtId="9" fontId="6" fillId="0" borderId="0" xfId="368" applyNumberFormat="1" applyAlignment="1">
      <alignment horizontal="center"/>
    </xf>
    <xf numFmtId="43" fontId="5" fillId="0" borderId="0" xfId="370" applyFont="1" applyFill="1"/>
    <xf numFmtId="10" fontId="5" fillId="0" borderId="0" xfId="371" applyNumberFormat="1" applyFont="1" applyFill="1"/>
    <xf numFmtId="43" fontId="5" fillId="0" borderId="50" xfId="370" applyFont="1" applyBorder="1"/>
    <xf numFmtId="173" fontId="5" fillId="0" borderId="50" xfId="370" applyNumberFormat="1" applyFont="1" applyFill="1" applyBorder="1"/>
    <xf numFmtId="173" fontId="5" fillId="0" borderId="0" xfId="370" applyNumberFormat="1" applyFont="1" applyFill="1" applyBorder="1"/>
    <xf numFmtId="9" fontId="5" fillId="0" borderId="0" xfId="370" applyNumberFormat="1" applyFont="1" applyFill="1" applyBorder="1" applyAlignment="1">
      <alignment horizontal="center"/>
    </xf>
    <xf numFmtId="10" fontId="5" fillId="0" borderId="0" xfId="371" applyNumberFormat="1" applyFont="1"/>
    <xf numFmtId="1" fontId="12" fillId="0" borderId="0" xfId="368" applyNumberFormat="1" applyFont="1" applyAlignment="1">
      <alignment horizontal="left"/>
    </xf>
    <xf numFmtId="43" fontId="5" fillId="0" borderId="0" xfId="370" applyFont="1"/>
    <xf numFmtId="199" fontId="5" fillId="0" borderId="0" xfId="370" applyNumberFormat="1" applyFont="1" applyFill="1"/>
    <xf numFmtId="173" fontId="5" fillId="0" borderId="0" xfId="370" applyNumberFormat="1" applyFont="1" applyBorder="1"/>
    <xf numFmtId="173" fontId="5" fillId="0" borderId="50" xfId="370" applyNumberFormat="1" applyFont="1" applyBorder="1"/>
    <xf numFmtId="10" fontId="5" fillId="0" borderId="0" xfId="370" applyNumberFormat="1" applyFont="1" applyFill="1" applyBorder="1" applyAlignment="1">
      <alignment horizontal="center"/>
    </xf>
    <xf numFmtId="2" fontId="6" fillId="0" borderId="0" xfId="368" applyNumberFormat="1"/>
    <xf numFmtId="9" fontId="5" fillId="0" borderId="0" xfId="371" applyFont="1"/>
    <xf numFmtId="2" fontId="5" fillId="0" borderId="0" xfId="368" applyNumberFormat="1" applyFont="1" applyAlignment="1">
      <alignment horizontal="left" wrapText="1"/>
    </xf>
    <xf numFmtId="173" fontId="140" fillId="33" borderId="0" xfId="403" applyNumberFormat="1" applyFont="1" applyFill="1" applyProtection="1">
      <protection locked="0"/>
    </xf>
    <xf numFmtId="0" fontId="28" fillId="0" borderId="11" xfId="357" applyFont="1" applyBorder="1" applyAlignment="1">
      <alignment horizontal="center" wrapText="1"/>
    </xf>
    <xf numFmtId="0" fontId="28" fillId="0" borderId="11" xfId="357" applyFont="1" applyBorder="1" applyAlignment="1">
      <alignment horizontal="center"/>
    </xf>
    <xf numFmtId="0" fontId="28" fillId="0" borderId="63" xfId="357" applyFont="1" applyBorder="1" applyAlignment="1">
      <alignment horizontal="center" wrapText="1"/>
    </xf>
    <xf numFmtId="0" fontId="27" fillId="0" borderId="0" xfId="357" applyFont="1" applyAlignment="1">
      <alignment vertical="top" wrapText="1"/>
    </xf>
    <xf numFmtId="0" fontId="27" fillId="0" borderId="0" xfId="357" applyFont="1" applyAlignment="1">
      <alignment vertical="top"/>
    </xf>
    <xf numFmtId="0" fontId="28" fillId="0" borderId="0" xfId="357" applyFont="1"/>
    <xf numFmtId="41" fontId="27" fillId="33" borderId="62" xfId="265" applyNumberFormat="1" applyFont="1" applyFill="1" applyBorder="1" applyProtection="1">
      <protection locked="0"/>
    </xf>
    <xf numFmtId="173" fontId="27" fillId="35" borderId="62" xfId="367" applyNumberFormat="1" applyFont="1" applyFill="1" applyBorder="1"/>
    <xf numFmtId="173" fontId="27" fillId="35" borderId="52" xfId="367" applyNumberFormat="1" applyFont="1" applyFill="1" applyBorder="1"/>
    <xf numFmtId="0" fontId="27" fillId="0" borderId="0" xfId="0" applyFont="1"/>
    <xf numFmtId="0" fontId="1" fillId="0" borderId="0" xfId="742"/>
    <xf numFmtId="10" fontId="5" fillId="0" borderId="0" xfId="371" applyNumberFormat="1" applyFont="1" applyFill="1" applyAlignment="1">
      <alignment horizontal="center" wrapText="1"/>
    </xf>
    <xf numFmtId="173" fontId="5" fillId="0" borderId="63" xfId="370" applyNumberFormat="1" applyFont="1" applyFill="1" applyBorder="1"/>
    <xf numFmtId="170" fontId="1" fillId="0" borderId="0" xfId="742" applyNumberFormat="1"/>
    <xf numFmtId="170" fontId="5" fillId="0" borderId="0" xfId="368" applyNumberFormat="1" applyFont="1" applyAlignment="1">
      <alignment horizontal="center"/>
    </xf>
    <xf numFmtId="170" fontId="5" fillId="0" borderId="0" xfId="368" applyNumberFormat="1" applyFont="1" applyAlignment="1">
      <alignment horizontal="center" wrapText="1"/>
    </xf>
    <xf numFmtId="170" fontId="5" fillId="0" borderId="0" xfId="370" applyNumberFormat="1" applyFont="1"/>
    <xf numFmtId="170" fontId="5" fillId="0" borderId="63" xfId="370" applyNumberFormat="1" applyFont="1" applyBorder="1"/>
    <xf numFmtId="170" fontId="5" fillId="0" borderId="0" xfId="370" applyNumberFormat="1" applyFont="1" applyBorder="1"/>
    <xf numFmtId="170" fontId="6" fillId="0" borderId="0" xfId="368" applyNumberFormat="1"/>
    <xf numFmtId="200" fontId="1" fillId="0" borderId="0" xfId="744" applyNumberFormat="1" applyFont="1"/>
    <xf numFmtId="176" fontId="1" fillId="0" borderId="0" xfId="743" applyNumberFormat="1" applyFont="1"/>
    <xf numFmtId="173" fontId="1" fillId="0" borderId="0" xfId="743" applyNumberFormat="1" applyFont="1"/>
    <xf numFmtId="200" fontId="1" fillId="0" borderId="11" xfId="744" applyNumberFormat="1" applyFont="1" applyBorder="1"/>
    <xf numFmtId="176" fontId="5" fillId="0" borderId="0" xfId="371" applyNumberFormat="1" applyFont="1" applyFill="1"/>
    <xf numFmtId="173" fontId="11" fillId="33" borderId="0" xfId="121" applyNumberFormat="1" applyFont="1" applyFill="1" applyProtection="1">
      <protection locked="0"/>
    </xf>
    <xf numFmtId="41" fontId="22" fillId="33" borderId="0" xfId="272" applyNumberFormat="1" applyFont="1" applyFill="1" applyProtection="1">
      <protection locked="0"/>
    </xf>
    <xf numFmtId="173" fontId="77" fillId="0" borderId="0" xfId="273" applyNumberFormat="1" applyFont="1" applyAlignment="1">
      <alignment horizontal="center" vertical="center"/>
    </xf>
    <xf numFmtId="41" fontId="11" fillId="36" borderId="0" xfId="263" applyNumberFormat="1" applyFont="1" applyFill="1" applyProtection="1">
      <protection locked="0"/>
    </xf>
    <xf numFmtId="37" fontId="0" fillId="36" borderId="0" xfId="0" applyNumberFormat="1" applyFill="1"/>
    <xf numFmtId="175" fontId="0" fillId="0" borderId="0" xfId="0" quotePrefix="1" applyNumberFormat="1" applyAlignment="1">
      <alignment horizontal="left"/>
    </xf>
    <xf numFmtId="175" fontId="0" fillId="0" borderId="0" xfId="0" applyNumberFormat="1"/>
    <xf numFmtId="175" fontId="0" fillId="0" borderId="0" xfId="0" quotePrefix="1" applyNumberFormat="1" applyAlignment="1">
      <alignment horizontal="right"/>
    </xf>
    <xf numFmtId="0" fontId="113" fillId="0" borderId="0" xfId="0" applyFont="1" applyAlignment="1" applyProtection="1">
      <alignment horizontal="right"/>
      <protection locked="0"/>
    </xf>
    <xf numFmtId="0" fontId="113" fillId="0" borderId="0" xfId="0" applyFont="1" applyProtection="1">
      <protection locked="0"/>
    </xf>
    <xf numFmtId="10" fontId="114" fillId="0" borderId="0" xfId="0" applyNumberFormat="1" applyFont="1"/>
    <xf numFmtId="0" fontId="114" fillId="0" borderId="0" xfId="0" applyFont="1"/>
    <xf numFmtId="0" fontId="114" fillId="0" borderId="0" xfId="0" applyFont="1" applyAlignment="1">
      <alignment horizontal="right"/>
    </xf>
    <xf numFmtId="0" fontId="45" fillId="0" borderId="0" xfId="0" applyFont="1"/>
    <xf numFmtId="201" fontId="0" fillId="0" borderId="0" xfId="0" applyNumberFormat="1" applyAlignment="1">
      <alignment horizontal="centerContinuous"/>
    </xf>
    <xf numFmtId="0" fontId="0" fillId="0" borderId="0" xfId="0" applyAlignment="1">
      <alignment horizontal="centerContinuous"/>
    </xf>
    <xf numFmtId="37" fontId="0" fillId="37" borderId="0" xfId="0" applyNumberFormat="1" applyFill="1"/>
    <xf numFmtId="41" fontId="11" fillId="33" borderId="0" xfId="264" applyNumberFormat="1" applyFont="1" applyFill="1" applyProtection="1">
      <protection locked="0"/>
    </xf>
    <xf numFmtId="37" fontId="5" fillId="0" borderId="0" xfId="619" applyNumberFormat="1"/>
    <xf numFmtId="173" fontId="8" fillId="0" borderId="0" xfId="86" applyNumberFormat="1" applyFont="1" applyFill="1" applyBorder="1" applyAlignment="1" applyProtection="1"/>
    <xf numFmtId="3" fontId="27" fillId="0" borderId="11" xfId="663" applyNumberFormat="1" applyFont="1" applyBorder="1" applyAlignment="1">
      <alignment horizontal="center" wrapText="1"/>
    </xf>
    <xf numFmtId="3" fontId="27" fillId="0" borderId="37" xfId="663" applyNumberFormat="1" applyFont="1" applyBorder="1" applyAlignment="1">
      <alignment horizontal="center" wrapText="1"/>
    </xf>
    <xf numFmtId="173" fontId="5" fillId="0" borderId="64" xfId="561" applyNumberFormat="1" applyFont="1" applyBorder="1"/>
    <xf numFmtId="173" fontId="5" fillId="0" borderId="31" xfId="561" applyNumberFormat="1" applyFont="1" applyBorder="1"/>
    <xf numFmtId="0" fontId="12" fillId="0" borderId="65" xfId="275" applyFont="1" applyBorder="1" applyAlignment="1">
      <alignment horizontal="center" wrapText="1"/>
    </xf>
    <xf numFmtId="0" fontId="12" fillId="0" borderId="0" xfId="262" applyFont="1" applyAlignment="1">
      <alignment horizontal="center" wrapText="1"/>
    </xf>
    <xf numFmtId="173" fontId="11" fillId="29" borderId="11" xfId="90" applyNumberFormat="1" applyFont="1" applyFill="1" applyBorder="1" applyAlignment="1">
      <alignment horizontal="right"/>
    </xf>
    <xf numFmtId="173" fontId="15" fillId="0" borderId="64" xfId="90" applyNumberFormat="1" applyFont="1" applyBorder="1"/>
    <xf numFmtId="0" fontId="5" fillId="0" borderId="65" xfId="0" applyFont="1" applyBorder="1"/>
    <xf numFmtId="0" fontId="5" fillId="0" borderId="69" xfId="0" applyFont="1" applyBorder="1"/>
    <xf numFmtId="3" fontId="5" fillId="0" borderId="11" xfId="663" applyNumberFormat="1" applyBorder="1" applyAlignment="1">
      <alignment horizontal="center" wrapText="1"/>
    </xf>
    <xf numFmtId="3" fontId="5" fillId="0" borderId="37" xfId="663" applyNumberFormat="1" applyBorder="1" applyAlignment="1">
      <alignment horizontal="center" wrapText="1"/>
    </xf>
    <xf numFmtId="0" fontId="15" fillId="0" borderId="65" xfId="0" applyFont="1" applyBorder="1"/>
    <xf numFmtId="173" fontId="11" fillId="29" borderId="65" xfId="90" applyNumberFormat="1" applyFont="1" applyFill="1" applyBorder="1" applyAlignment="1">
      <alignment horizontal="right"/>
    </xf>
    <xf numFmtId="173" fontId="15" fillId="0" borderId="64" xfId="89" applyNumberFormat="1" applyFont="1" applyBorder="1"/>
    <xf numFmtId="0" fontId="5" fillId="0" borderId="0" xfId="663" applyAlignment="1">
      <alignment horizontal="center"/>
    </xf>
    <xf numFmtId="38" fontId="5" fillId="0" borderId="0" xfId="0" applyNumberFormat="1" applyFont="1"/>
    <xf numFmtId="3" fontId="5" fillId="0" borderId="0" xfId="663" applyNumberFormat="1"/>
    <xf numFmtId="37" fontId="5" fillId="29" borderId="0" xfId="0" applyNumberFormat="1" applyFont="1" applyFill="1" applyProtection="1">
      <protection locked="0"/>
    </xf>
    <xf numFmtId="173" fontId="5" fillId="0" borderId="0" xfId="86" applyNumberFormat="1" applyFont="1" applyFill="1"/>
    <xf numFmtId="41" fontId="8" fillId="29" borderId="0" xfId="272" applyNumberFormat="1" applyFont="1" applyFill="1" applyProtection="1">
      <protection locked="0"/>
    </xf>
    <xf numFmtId="41" fontId="22" fillId="33" borderId="6" xfId="272" applyNumberFormat="1" applyFont="1" applyFill="1" applyBorder="1" applyProtection="1">
      <protection locked="0"/>
    </xf>
    <xf numFmtId="3" fontId="8" fillId="29" borderId="0" xfId="272" applyNumberFormat="1" applyFont="1" applyFill="1" applyProtection="1">
      <protection locked="0"/>
    </xf>
    <xf numFmtId="0" fontId="27" fillId="0" borderId="0" xfId="741" applyFont="1"/>
    <xf numFmtId="173" fontId="27" fillId="35" borderId="62" xfId="755" applyNumberFormat="1" applyFont="1" applyFill="1" applyBorder="1"/>
    <xf numFmtId="173" fontId="27" fillId="35" borderId="66" xfId="755" applyNumberFormat="1" applyFont="1" applyFill="1" applyBorder="1"/>
    <xf numFmtId="173" fontId="27" fillId="0" borderId="66" xfId="755" applyNumberFormat="1" applyFont="1" applyFill="1" applyBorder="1"/>
    <xf numFmtId="173" fontId="27" fillId="0" borderId="0" xfId="756" applyNumberFormat="1" applyFont="1" applyBorder="1" applyAlignment="1">
      <alignment horizontal="center"/>
    </xf>
    <xf numFmtId="0" fontId="28" fillId="0" borderId="0" xfId="741" applyFont="1"/>
    <xf numFmtId="0" fontId="171" fillId="0" borderId="0" xfId="741" applyFont="1"/>
    <xf numFmtId="173" fontId="27" fillId="38" borderId="66" xfId="755" applyNumberFormat="1" applyFont="1" applyFill="1" applyBorder="1"/>
    <xf numFmtId="41" fontId="27" fillId="0" borderId="62" xfId="757" applyNumberFormat="1" applyFont="1" applyBorder="1"/>
    <xf numFmtId="41" fontId="27" fillId="0" borderId="0" xfId="741" applyNumberFormat="1" applyFont="1" applyAlignment="1">
      <alignment horizontal="center"/>
    </xf>
    <xf numFmtId="173" fontId="27" fillId="32" borderId="62" xfId="755" applyNumberFormat="1" applyFont="1" applyFill="1" applyBorder="1"/>
    <xf numFmtId="37" fontId="27" fillId="0" borderId="62" xfId="757" applyNumberFormat="1" applyFont="1" applyBorder="1"/>
    <xf numFmtId="43" fontId="15" fillId="0" borderId="0" xfId="273" applyNumberFormat="1" applyFont="1"/>
    <xf numFmtId="43" fontId="21" fillId="0" borderId="0" xfId="273" applyNumberFormat="1" applyFont="1"/>
    <xf numFmtId="49" fontId="27" fillId="37" borderId="0" xfId="366" applyNumberFormat="1" applyFont="1" applyFill="1" applyAlignment="1">
      <alignment horizontal="center"/>
    </xf>
    <xf numFmtId="49" fontId="5" fillId="37" borderId="0" xfId="741" applyNumberFormat="1" applyFont="1" applyFill="1" applyAlignment="1">
      <alignment horizontal="center"/>
    </xf>
    <xf numFmtId="49" fontId="27" fillId="37" borderId="0" xfId="741" applyNumberFormat="1" applyFont="1" applyFill="1" applyAlignment="1">
      <alignment horizontal="center"/>
    </xf>
    <xf numFmtId="173" fontId="11" fillId="29" borderId="69" xfId="90" applyNumberFormat="1" applyFont="1" applyFill="1" applyBorder="1" applyAlignment="1">
      <alignment horizontal="right"/>
    </xf>
    <xf numFmtId="173" fontId="11" fillId="29" borderId="33" xfId="90" applyNumberFormat="1" applyFont="1" applyFill="1" applyBorder="1" applyAlignment="1">
      <alignment horizontal="right"/>
    </xf>
    <xf numFmtId="172" fontId="29" fillId="0" borderId="0" xfId="272" applyFont="1" applyAlignment="1" applyProtection="1">
      <alignment wrapText="1"/>
    </xf>
    <xf numFmtId="0" fontId="29" fillId="0" borderId="0" xfId="272" applyNumberFormat="1" applyFont="1" applyAlignment="1" applyProtection="1">
      <alignment horizontal="left" wrapText="1"/>
    </xf>
    <xf numFmtId="3" fontId="150" fillId="0" borderId="0" xfId="272" applyNumberFormat="1" applyFont="1" applyAlignment="1" applyProtection="1">
      <alignment horizontal="center"/>
    </xf>
    <xf numFmtId="3" fontId="8" fillId="0" borderId="0" xfId="272" applyNumberFormat="1" applyFont="1" applyAlignment="1" applyProtection="1">
      <alignment horizontal="left" wrapText="1"/>
    </xf>
    <xf numFmtId="0" fontId="15" fillId="0" borderId="0" xfId="0" applyFont="1" applyAlignment="1">
      <alignment horizontal="left" wrapText="1"/>
    </xf>
    <xf numFmtId="172" fontId="79" fillId="0" borderId="0" xfId="272" applyFont="1" applyAlignment="1" applyProtection="1">
      <alignment horizontal="left" wrapText="1"/>
    </xf>
    <xf numFmtId="49" fontId="8" fillId="0" borderId="0" xfId="272" applyNumberFormat="1" applyFont="1" applyAlignment="1" applyProtection="1">
      <alignment horizontal="center"/>
    </xf>
    <xf numFmtId="0" fontId="35" fillId="0" borderId="0" xfId="0" applyFont="1" applyAlignment="1">
      <alignment horizontal="center"/>
    </xf>
    <xf numFmtId="0" fontId="13" fillId="0" borderId="0" xfId="272" applyNumberFormat="1" applyFont="1" applyAlignment="1" applyProtection="1">
      <alignment horizontal="center"/>
    </xf>
    <xf numFmtId="0" fontId="16" fillId="0" borderId="0" xfId="0" applyFont="1"/>
    <xf numFmtId="0" fontId="0" fillId="0" borderId="0" xfId="0" applyAlignment="1">
      <alignment horizontal="center"/>
    </xf>
    <xf numFmtId="172" fontId="9" fillId="0" borderId="11" xfId="272" applyFont="1" applyBorder="1" applyAlignment="1" applyProtection="1">
      <alignment horizontal="center"/>
    </xf>
    <xf numFmtId="0" fontId="8" fillId="0" borderId="0" xfId="0" applyFont="1" applyAlignment="1">
      <alignment horizontal="left" vertical="top" wrapText="1"/>
    </xf>
    <xf numFmtId="0" fontId="8" fillId="0" borderId="0" xfId="272" applyNumberFormat="1" applyFont="1" applyAlignment="1" applyProtection="1">
      <alignment horizontal="left" wrapText="1"/>
    </xf>
    <xf numFmtId="0" fontId="8" fillId="0" borderId="0" xfId="0" applyFont="1" applyAlignment="1">
      <alignment wrapText="1"/>
    </xf>
    <xf numFmtId="0" fontId="8" fillId="0" borderId="0" xfId="272" applyNumberFormat="1" applyFont="1" applyAlignment="1" applyProtection="1">
      <alignment horizontal="left" vertical="top" wrapText="1"/>
    </xf>
    <xf numFmtId="172" fontId="8" fillId="0" borderId="0" xfId="272" applyFont="1" applyAlignment="1" applyProtection="1">
      <alignment vertical="top" wrapText="1"/>
    </xf>
    <xf numFmtId="172" fontId="135" fillId="0" borderId="0" xfId="272" applyFont="1" applyAlignment="1" applyProtection="1">
      <alignment vertical="top" wrapText="1"/>
    </xf>
    <xf numFmtId="172" fontId="116" fillId="0" borderId="0" xfId="272" applyFont="1" applyAlignment="1" applyProtection="1">
      <alignment wrapText="1"/>
    </xf>
    <xf numFmtId="172" fontId="29" fillId="0" borderId="0" xfId="272" applyFont="1" applyAlignment="1" applyProtection="1">
      <alignment vertical="top" wrapText="1"/>
    </xf>
    <xf numFmtId="172" fontId="8" fillId="0" borderId="0" xfId="272" applyFont="1" applyAlignment="1" applyProtection="1">
      <alignment horizontal="left" wrapText="1"/>
    </xf>
    <xf numFmtId="172" fontId="8" fillId="0" borderId="0" xfId="272" applyFont="1" applyAlignment="1" applyProtection="1">
      <alignment horizontal="left"/>
    </xf>
    <xf numFmtId="0" fontId="12" fillId="0" borderId="66" xfId="275" applyFont="1" applyBorder="1" applyAlignment="1">
      <alignment horizontal="center" wrapText="1"/>
    </xf>
    <xf numFmtId="0" fontId="12" fillId="0" borderId="67" xfId="275" applyFont="1" applyBorder="1" applyAlignment="1">
      <alignment horizontal="center" wrapText="1"/>
    </xf>
    <xf numFmtId="0" fontId="12" fillId="0" borderId="68" xfId="275" applyFont="1" applyBorder="1" applyAlignment="1">
      <alignment horizontal="center" wrapText="1"/>
    </xf>
    <xf numFmtId="0" fontId="8" fillId="0" borderId="0" xfId="0" applyFont="1" applyAlignment="1">
      <alignment horizontal="center"/>
    </xf>
    <xf numFmtId="0" fontId="8" fillId="0" borderId="0" xfId="222" applyFont="1" applyAlignment="1">
      <alignment horizontal="center"/>
    </xf>
    <xf numFmtId="3" fontId="8" fillId="0" borderId="0" xfId="222" applyNumberFormat="1" applyFont="1" applyAlignment="1">
      <alignment horizontal="center"/>
    </xf>
    <xf numFmtId="0" fontId="15" fillId="0" borderId="0" xfId="222" applyAlignment="1">
      <alignment horizontal="left" wrapText="1"/>
    </xf>
    <xf numFmtId="0" fontId="20" fillId="0" borderId="0" xfId="263" applyFont="1" applyAlignment="1">
      <alignment horizontal="center" wrapText="1"/>
    </xf>
    <xf numFmtId="0" fontId="16" fillId="0" borderId="0" xfId="0" applyFont="1" applyAlignment="1">
      <alignment horizontal="center" wrapText="1"/>
    </xf>
    <xf numFmtId="3" fontId="8" fillId="0" borderId="0" xfId="0" applyNumberFormat="1" applyFont="1" applyAlignment="1">
      <alignment horizontal="center"/>
    </xf>
    <xf numFmtId="0" fontId="20" fillId="0" borderId="0" xfId="222" quotePrefix="1" applyFont="1" applyAlignment="1">
      <alignment horizontal="center" wrapText="1"/>
    </xf>
    <xf numFmtId="0" fontId="27" fillId="0" borderId="11" xfId="366" applyFont="1" applyBorder="1" applyAlignment="1">
      <alignment horizontal="center"/>
    </xf>
    <xf numFmtId="172" fontId="27" fillId="0" borderId="11" xfId="362" applyFont="1" applyBorder="1" applyAlignment="1">
      <alignment horizontal="center"/>
    </xf>
    <xf numFmtId="0" fontId="27" fillId="0" borderId="11" xfId="366" applyFont="1" applyBorder="1" applyAlignment="1">
      <alignment horizontal="center" wrapText="1"/>
    </xf>
    <xf numFmtId="0" fontId="28" fillId="0" borderId="0" xfId="366" applyFont="1" applyAlignment="1">
      <alignment horizontal="center" wrapText="1"/>
    </xf>
    <xf numFmtId="41" fontId="27" fillId="33" borderId="34" xfId="265" applyNumberFormat="1" applyFont="1" applyFill="1" applyBorder="1" applyAlignment="1" applyProtection="1">
      <alignment vertical="center"/>
      <protection locked="0"/>
    </xf>
    <xf numFmtId="0" fontId="27" fillId="0" borderId="0" xfId="366" applyFont="1" applyAlignment="1">
      <alignment horizontal="center" wrapText="1"/>
    </xf>
    <xf numFmtId="41" fontId="27" fillId="33" borderId="34" xfId="265" applyNumberFormat="1" applyFont="1" applyFill="1" applyBorder="1" applyAlignment="1" applyProtection="1">
      <alignment horizontal="left" vertical="center" wrapText="1"/>
      <protection locked="0"/>
    </xf>
    <xf numFmtId="0" fontId="27" fillId="0" borderId="0" xfId="366" applyFont="1" applyAlignment="1">
      <alignment horizontal="left" wrapText="1"/>
    </xf>
    <xf numFmtId="0" fontId="27" fillId="0" borderId="0" xfId="357" applyFont="1" applyAlignment="1">
      <alignment horizontal="left" vertical="top" wrapText="1"/>
    </xf>
    <xf numFmtId="172" fontId="5" fillId="0" borderId="0" xfId="368" applyFont="1" applyAlignment="1">
      <alignment horizontal="left" wrapText="1"/>
    </xf>
    <xf numFmtId="2" fontId="5" fillId="0" borderId="0" xfId="368" applyNumberFormat="1" applyFont="1" applyAlignment="1">
      <alignment horizontal="left" wrapText="1"/>
    </xf>
    <xf numFmtId="41" fontId="12" fillId="0" borderId="11" xfId="263" applyNumberFormat="1" applyFont="1" applyBorder="1" applyAlignment="1" applyProtection="1">
      <alignment horizontal="center"/>
      <protection locked="0"/>
    </xf>
    <xf numFmtId="172" fontId="5" fillId="0" borderId="0" xfId="368" applyFont="1" applyAlignment="1">
      <alignment horizontal="center" wrapText="1"/>
    </xf>
    <xf numFmtId="10" fontId="5" fillId="0" borderId="0" xfId="371" applyNumberFormat="1" applyFont="1" applyFill="1" applyAlignment="1">
      <alignment horizontal="center" wrapText="1"/>
    </xf>
    <xf numFmtId="172" fontId="5" fillId="0" borderId="0" xfId="368" applyFont="1" applyAlignment="1">
      <alignment horizontal="left" vertical="top" wrapText="1"/>
    </xf>
    <xf numFmtId="0" fontId="82" fillId="0" borderId="0" xfId="263" applyFont="1" applyAlignment="1">
      <alignment horizontal="center"/>
    </xf>
    <xf numFmtId="0" fontId="82" fillId="0" borderId="0" xfId="222" applyFont="1" applyAlignment="1">
      <alignment horizontal="center"/>
    </xf>
    <xf numFmtId="0" fontId="82" fillId="0" borderId="0" xfId="0" applyFont="1" applyAlignment="1">
      <alignment horizontal="center"/>
    </xf>
    <xf numFmtId="0" fontId="15" fillId="0" borderId="0" xfId="0" applyFont="1" applyAlignment="1">
      <alignment wrapText="1"/>
    </xf>
    <xf numFmtId="172" fontId="15" fillId="0" borderId="0" xfId="272" applyFont="1" applyAlignment="1" applyProtection="1">
      <alignment horizontal="left" vertical="top" wrapText="1"/>
    </xf>
    <xf numFmtId="0" fontId="12" fillId="0" borderId="0" xfId="276" applyFont="1" applyAlignment="1">
      <alignment wrapText="1"/>
    </xf>
    <xf numFmtId="3" fontId="7" fillId="0" borderId="0" xfId="0" applyNumberFormat="1" applyFont="1" applyAlignment="1">
      <alignment horizontal="center"/>
    </xf>
    <xf numFmtId="0" fontId="13" fillId="0" borderId="0" xfId="276" applyFont="1" applyAlignment="1">
      <alignment horizontal="center"/>
    </xf>
    <xf numFmtId="0" fontId="15" fillId="0" borderId="0" xfId="0" applyFont="1" applyAlignment="1">
      <alignment vertical="top" wrapText="1"/>
    </xf>
    <xf numFmtId="0" fontId="9" fillId="0" borderId="11" xfId="273" applyFont="1" applyBorder="1" applyAlignment="1">
      <alignment horizontal="center"/>
    </xf>
    <xf numFmtId="0" fontId="74" fillId="0" borderId="0" xfId="273" applyFont="1" applyAlignment="1">
      <alignment horizontal="left" wrapText="1"/>
    </xf>
    <xf numFmtId="0" fontId="74" fillId="0" borderId="0" xfId="273" applyFont="1" applyAlignment="1">
      <alignment wrapText="1"/>
    </xf>
    <xf numFmtId="0" fontId="7" fillId="0" borderId="0" xfId="222" applyFont="1" applyAlignment="1">
      <alignment horizontal="center"/>
    </xf>
    <xf numFmtId="0" fontId="7" fillId="0" borderId="0" xfId="0" applyFont="1" applyAlignment="1">
      <alignment horizontal="center"/>
    </xf>
    <xf numFmtId="172" fontId="5" fillId="0" borderId="21" xfId="272" applyFont="1" applyBorder="1" applyAlignment="1" applyProtection="1">
      <alignment wrapText="1"/>
    </xf>
    <xf numFmtId="0" fontId="5" fillId="0" borderId="15" xfId="0" applyFont="1" applyBorder="1" applyAlignment="1">
      <alignment wrapText="1"/>
    </xf>
    <xf numFmtId="0" fontId="5" fillId="0" borderId="25" xfId="0" applyFont="1" applyBorder="1" applyAlignment="1">
      <alignment wrapText="1"/>
    </xf>
    <xf numFmtId="0" fontId="5" fillId="0" borderId="17" xfId="0" applyFont="1" applyBorder="1" applyAlignment="1">
      <alignment wrapText="1"/>
    </xf>
    <xf numFmtId="0" fontId="5" fillId="0" borderId="0" xfId="0" applyFont="1" applyAlignment="1">
      <alignment wrapText="1"/>
    </xf>
    <xf numFmtId="0" fontId="5" fillId="0" borderId="18" xfId="0" applyFont="1" applyBorder="1" applyAlignment="1">
      <alignment wrapText="1"/>
    </xf>
    <xf numFmtId="0" fontId="7" fillId="0" borderId="0" xfId="0" applyFont="1" applyAlignment="1">
      <alignment wrapText="1"/>
    </xf>
    <xf numFmtId="0" fontId="0" fillId="0" borderId="0" xfId="0" applyAlignment="1">
      <alignment wrapText="1"/>
    </xf>
    <xf numFmtId="173" fontId="98" fillId="0" borderId="0" xfId="89" applyNumberFormat="1" applyFont="1" applyBorder="1" applyAlignment="1" applyProtection="1">
      <alignment horizontal="center"/>
    </xf>
    <xf numFmtId="0" fontId="0" fillId="0" borderId="0" xfId="0" applyAlignment="1">
      <alignment horizontal="left" wrapText="1"/>
    </xf>
    <xf numFmtId="0" fontId="72" fillId="29" borderId="0" xfId="0" applyFont="1" applyFill="1" applyAlignment="1" applyProtection="1">
      <alignment horizontal="left" vertical="top"/>
      <protection locked="0"/>
    </xf>
    <xf numFmtId="173" fontId="98" fillId="0" borderId="0" xfId="86" applyNumberFormat="1" applyFont="1" applyBorder="1" applyAlignment="1" applyProtection="1">
      <alignment horizontal="center"/>
    </xf>
    <xf numFmtId="0" fontId="15" fillId="0" borderId="0" xfId="266" applyAlignment="1">
      <alignment horizontal="left" wrapText="1"/>
    </xf>
    <xf numFmtId="0" fontId="15" fillId="0" borderId="0" xfId="193" applyAlignment="1">
      <alignment wrapText="1"/>
    </xf>
    <xf numFmtId="0" fontId="91" fillId="0" borderId="0" xfId="266" applyFont="1" applyAlignment="1">
      <alignment horizontal="left" wrapText="1"/>
    </xf>
    <xf numFmtId="0" fontId="66" fillId="0" borderId="0" xfId="0" applyFont="1" applyAlignment="1">
      <alignment vertical="top" wrapText="1"/>
    </xf>
    <xf numFmtId="41" fontId="12" fillId="0" borderId="0" xfId="266" applyNumberFormat="1" applyFont="1" applyAlignment="1">
      <alignment horizontal="center" wrapText="1"/>
    </xf>
    <xf numFmtId="0" fontId="12" fillId="0" borderId="48" xfId="275" applyFont="1" applyBorder="1" applyAlignment="1">
      <alignment horizontal="center" wrapText="1"/>
    </xf>
    <xf numFmtId="0" fontId="12" fillId="0" borderId="13" xfId="275" applyFont="1" applyBorder="1" applyAlignment="1">
      <alignment horizontal="center" wrapText="1"/>
    </xf>
    <xf numFmtId="0" fontId="12" fillId="0" borderId="49" xfId="275" applyFont="1" applyBorder="1" applyAlignment="1">
      <alignment horizontal="center" wrapText="1"/>
    </xf>
    <xf numFmtId="0" fontId="12" fillId="0" borderId="48" xfId="0" applyFont="1" applyBorder="1" applyAlignment="1">
      <alignment horizontal="center"/>
    </xf>
    <xf numFmtId="0" fontId="12" fillId="0" borderId="13" xfId="0" applyFont="1" applyBorder="1" applyAlignment="1">
      <alignment horizontal="center"/>
    </xf>
    <xf numFmtId="0" fontId="12" fillId="0" borderId="49" xfId="0" applyFont="1" applyBorder="1" applyAlignment="1">
      <alignment horizontal="center"/>
    </xf>
    <xf numFmtId="0" fontId="12" fillId="0" borderId="0" xfId="0" applyFont="1" applyAlignment="1">
      <alignment horizontal="center" wrapText="1"/>
    </xf>
    <xf numFmtId="0" fontId="12" fillId="0" borderId="0" xfId="0" applyFont="1" applyAlignment="1">
      <alignment horizontal="left" wrapText="1"/>
    </xf>
    <xf numFmtId="0" fontId="97" fillId="0" borderId="0" xfId="0" applyFont="1" applyAlignment="1">
      <alignment horizontal="center" wrapText="1"/>
    </xf>
    <xf numFmtId="0" fontId="23" fillId="29" borderId="0" xfId="0" applyFont="1" applyFill="1" applyAlignment="1" applyProtection="1">
      <alignment wrapText="1"/>
      <protection locked="0"/>
    </xf>
    <xf numFmtId="0" fontId="148" fillId="0" borderId="0" xfId="0" applyFont="1" applyAlignment="1">
      <alignment horizontal="left" wrapText="1"/>
    </xf>
    <xf numFmtId="0" fontId="140" fillId="0" borderId="0" xfId="0" applyFont="1" applyAlignment="1">
      <alignment wrapText="1"/>
    </xf>
    <xf numFmtId="0" fontId="140" fillId="0" borderId="0" xfId="0" applyFont="1" applyAlignment="1">
      <alignment horizontal="left" wrapText="1"/>
    </xf>
    <xf numFmtId="0" fontId="142" fillId="0" borderId="0" xfId="0" applyFont="1" applyAlignment="1">
      <alignment horizontal="center"/>
    </xf>
    <xf numFmtId="0" fontId="142" fillId="0" borderId="0" xfId="0" applyFont="1" applyAlignment="1">
      <alignment horizontal="center" wrapText="1"/>
    </xf>
    <xf numFmtId="173" fontId="142" fillId="0" borderId="0" xfId="115" applyNumberFormat="1" applyFont="1" applyAlignment="1">
      <alignment horizontal="center" wrapText="1"/>
    </xf>
    <xf numFmtId="0" fontId="135" fillId="0" borderId="0" xfId="0" applyFont="1" applyAlignment="1">
      <alignment horizontal="center"/>
    </xf>
    <xf numFmtId="0" fontId="135" fillId="0" borderId="0" xfId="222" applyFont="1" applyAlignment="1">
      <alignment horizontal="center"/>
    </xf>
    <xf numFmtId="0" fontId="140" fillId="0" borderId="0" xfId="0" applyFont="1" applyAlignment="1">
      <alignment horizontal="center"/>
    </xf>
    <xf numFmtId="3" fontId="135" fillId="0" borderId="0" xfId="0" applyNumberFormat="1" applyFont="1" applyAlignment="1">
      <alignment horizontal="center"/>
    </xf>
    <xf numFmtId="0" fontId="8" fillId="0" borderId="0" xfId="270" applyFont="1" applyAlignment="1">
      <alignment vertical="top" wrapText="1"/>
    </xf>
    <xf numFmtId="0" fontId="6" fillId="0" borderId="0" xfId="0" applyFont="1" applyAlignment="1">
      <alignment vertical="top" wrapText="1"/>
    </xf>
    <xf numFmtId="0" fontId="107" fillId="0" borderId="0" xfId="274" applyFont="1" applyAlignment="1">
      <alignment horizontal="center"/>
    </xf>
    <xf numFmtId="0" fontId="0" fillId="0" borderId="0" xfId="0" applyAlignment="1">
      <alignment horizontal="left" vertical="center" wrapText="1"/>
    </xf>
    <xf numFmtId="3" fontId="107" fillId="0" borderId="0" xfId="274" applyNumberFormat="1" applyFont="1" applyAlignment="1">
      <alignment horizontal="center"/>
    </xf>
    <xf numFmtId="44" fontId="107" fillId="0" borderId="0" xfId="123" applyFont="1" applyAlignment="1" applyProtection="1">
      <alignment horizontal="center"/>
    </xf>
    <xf numFmtId="0" fontId="79" fillId="0" borderId="30" xfId="274" applyFont="1" applyBorder="1" applyAlignment="1">
      <alignment horizontal="center"/>
    </xf>
    <xf numFmtId="0" fontId="8" fillId="0" borderId="0" xfId="271" applyFont="1" applyAlignment="1">
      <alignment vertical="top" wrapText="1"/>
    </xf>
    <xf numFmtId="0" fontId="8" fillId="0" borderId="0" xfId="175" applyFont="1" applyAlignment="1">
      <alignment wrapText="1"/>
    </xf>
    <xf numFmtId="44" fontId="107" fillId="0" borderId="0" xfId="124" applyFont="1" applyAlignment="1">
      <alignment horizontal="center"/>
    </xf>
    <xf numFmtId="0" fontId="79" fillId="0" borderId="0" xfId="175" applyFont="1" applyAlignment="1">
      <alignment vertical="top" wrapText="1"/>
    </xf>
    <xf numFmtId="0" fontId="15" fillId="0" borderId="0" xfId="175" applyAlignment="1">
      <alignment vertical="top" wrapText="1"/>
    </xf>
    <xf numFmtId="0" fontId="8" fillId="0" borderId="0" xfId="175" applyFont="1" applyAlignment="1">
      <alignment vertical="top" wrapText="1"/>
    </xf>
    <xf numFmtId="0" fontId="136" fillId="0" borderId="0" xfId="274" applyFont="1" applyAlignment="1">
      <alignment horizontal="center"/>
    </xf>
    <xf numFmtId="0" fontId="6" fillId="0" borderId="0" xfId="274" applyAlignment="1">
      <alignment wrapText="1"/>
    </xf>
    <xf numFmtId="0" fontId="9" fillId="0" borderId="0" xfId="0" applyFont="1" applyAlignment="1">
      <alignment horizontal="center"/>
    </xf>
    <xf numFmtId="0" fontId="79" fillId="0" borderId="0" xfId="0" applyFont="1" applyAlignment="1">
      <alignment horizontal="center"/>
    </xf>
    <xf numFmtId="0" fontId="120" fillId="0" borderId="0" xfId="0" applyFont="1" applyAlignment="1">
      <alignment horizontal="center" wrapText="1"/>
    </xf>
  </cellXfs>
  <cellStyles count="758">
    <cellStyle name="20% - Accent1" xfId="1" builtinId="30" customBuiltin="1"/>
    <cellStyle name="20% - Accent1 2" xfId="2" xr:uid="{00000000-0005-0000-0000-000001000000}"/>
    <cellStyle name="20% - Accent2" xfId="3" builtinId="34" customBuiltin="1"/>
    <cellStyle name="20% - Accent2 2" xfId="4" xr:uid="{00000000-0005-0000-0000-000003000000}"/>
    <cellStyle name="20% - Accent3" xfId="5" builtinId="38" customBuiltin="1"/>
    <cellStyle name="20% - Accent3 2" xfId="6" xr:uid="{00000000-0005-0000-0000-000005000000}"/>
    <cellStyle name="20% - Accent4" xfId="7" builtinId="42" customBuiltin="1"/>
    <cellStyle name="20% - Accent4 2" xfId="8" xr:uid="{00000000-0005-0000-0000-000007000000}"/>
    <cellStyle name="20% - Accent5" xfId="9" builtinId="46" customBuiltin="1"/>
    <cellStyle name="20% - Accent5 2" xfId="10" xr:uid="{00000000-0005-0000-0000-000009000000}"/>
    <cellStyle name="20% - Accent6" xfId="11" builtinId="50" customBuiltin="1"/>
    <cellStyle name="20% - Accent6 2" xfId="12" xr:uid="{00000000-0005-0000-0000-00000B000000}"/>
    <cellStyle name="40% - Accent1" xfId="13" builtinId="31" customBuiltin="1"/>
    <cellStyle name="40% - Accent1 2" xfId="14" xr:uid="{00000000-0005-0000-0000-00000D000000}"/>
    <cellStyle name="40% - Accent2" xfId="15" builtinId="35" customBuiltin="1"/>
    <cellStyle name="40% - Accent2 2" xfId="16" xr:uid="{00000000-0005-0000-0000-00000F000000}"/>
    <cellStyle name="40% - Accent3" xfId="17" builtinId="39" customBuiltin="1"/>
    <cellStyle name="40% - Accent3 2" xfId="18" xr:uid="{00000000-0005-0000-0000-000011000000}"/>
    <cellStyle name="40% - Accent4" xfId="19" builtinId="43" customBuiltin="1"/>
    <cellStyle name="40% - Accent4 2" xfId="20" xr:uid="{00000000-0005-0000-0000-000013000000}"/>
    <cellStyle name="40% - Accent5" xfId="21" builtinId="47" customBuiltin="1"/>
    <cellStyle name="40% - Accent5 2" xfId="22" xr:uid="{00000000-0005-0000-0000-000015000000}"/>
    <cellStyle name="40% - Accent6" xfId="23" builtinId="51" customBuiltin="1"/>
    <cellStyle name="40% - Accent6 2" xfId="24" xr:uid="{00000000-0005-0000-0000-000017000000}"/>
    <cellStyle name="60% - Accent1" xfId="25" builtinId="32" customBuiltin="1"/>
    <cellStyle name="60% - Accent1 2" xfId="26" xr:uid="{00000000-0005-0000-0000-000019000000}"/>
    <cellStyle name="60% - Accent2" xfId="27" builtinId="36" customBuiltin="1"/>
    <cellStyle name="60% - Accent2 2" xfId="28" xr:uid="{00000000-0005-0000-0000-00001B000000}"/>
    <cellStyle name="60% - Accent3" xfId="29" builtinId="40" customBuiltin="1"/>
    <cellStyle name="60% - Accent3 2" xfId="30" xr:uid="{00000000-0005-0000-0000-00001D000000}"/>
    <cellStyle name="60% - Accent4" xfId="31" builtinId="44" customBuiltin="1"/>
    <cellStyle name="60% - Accent4 2" xfId="32" xr:uid="{00000000-0005-0000-0000-00001F000000}"/>
    <cellStyle name="60% - Accent5" xfId="33" builtinId="48" customBuiltin="1"/>
    <cellStyle name="60% - Accent5 2" xfId="34" xr:uid="{00000000-0005-0000-0000-000021000000}"/>
    <cellStyle name="60% - Accent6" xfId="35" builtinId="52" customBuiltin="1"/>
    <cellStyle name="60% - Accent6 2" xfId="36" xr:uid="{00000000-0005-0000-0000-000023000000}"/>
    <cellStyle name="Accent1" xfId="37" builtinId="29" customBuiltin="1"/>
    <cellStyle name="Accent1 2" xfId="38" xr:uid="{00000000-0005-0000-0000-000025000000}"/>
    <cellStyle name="Accent2" xfId="39" builtinId="33" customBuiltin="1"/>
    <cellStyle name="Accent2 2" xfId="40" xr:uid="{00000000-0005-0000-0000-000027000000}"/>
    <cellStyle name="Accent3" xfId="41" builtinId="37" customBuiltin="1"/>
    <cellStyle name="Accent3 2" xfId="42" xr:uid="{00000000-0005-0000-0000-000029000000}"/>
    <cellStyle name="Accent4" xfId="43" builtinId="41" customBuiltin="1"/>
    <cellStyle name="Accent4 2" xfId="44" xr:uid="{00000000-0005-0000-0000-00002B000000}"/>
    <cellStyle name="Accent5" xfId="45" builtinId="45" customBuiltin="1"/>
    <cellStyle name="Accent5 2" xfId="46" xr:uid="{00000000-0005-0000-0000-00002D000000}"/>
    <cellStyle name="Accent6" xfId="47" builtinId="49" customBuiltin="1"/>
    <cellStyle name="Accent6 2" xfId="48" xr:uid="{00000000-0005-0000-0000-00002F000000}"/>
    <cellStyle name="Bad" xfId="49" builtinId="27" customBuiltin="1"/>
    <cellStyle name="Bad 2" xfId="50" xr:uid="{00000000-0005-0000-0000-000031000000}"/>
    <cellStyle name="C00A" xfId="51" xr:uid="{00000000-0005-0000-0000-000032000000}"/>
    <cellStyle name="C00B" xfId="52" xr:uid="{00000000-0005-0000-0000-000033000000}"/>
    <cellStyle name="C00L" xfId="53" xr:uid="{00000000-0005-0000-0000-000034000000}"/>
    <cellStyle name="C01A" xfId="54" xr:uid="{00000000-0005-0000-0000-000035000000}"/>
    <cellStyle name="C01A 2" xfId="372" xr:uid="{00000000-0005-0000-0000-000036000000}"/>
    <cellStyle name="C01B" xfId="55" xr:uid="{00000000-0005-0000-0000-000037000000}"/>
    <cellStyle name="C01B 2" xfId="554" xr:uid="{00000000-0005-0000-0000-000038000000}"/>
    <cellStyle name="C01B 3" xfId="373" xr:uid="{00000000-0005-0000-0000-000039000000}"/>
    <cellStyle name="C01H" xfId="56" xr:uid="{00000000-0005-0000-0000-00003A000000}"/>
    <cellStyle name="C01L" xfId="57" xr:uid="{00000000-0005-0000-0000-00003B000000}"/>
    <cellStyle name="C02A" xfId="58" xr:uid="{00000000-0005-0000-0000-00003C000000}"/>
    <cellStyle name="C02A 2" xfId="374" xr:uid="{00000000-0005-0000-0000-00003D000000}"/>
    <cellStyle name="C02B" xfId="59" xr:uid="{00000000-0005-0000-0000-00003E000000}"/>
    <cellStyle name="C02B 2" xfId="555" xr:uid="{00000000-0005-0000-0000-00003F000000}"/>
    <cellStyle name="C02B 3" xfId="375" xr:uid="{00000000-0005-0000-0000-000040000000}"/>
    <cellStyle name="C02H" xfId="60" xr:uid="{00000000-0005-0000-0000-000041000000}"/>
    <cellStyle name="C02L" xfId="61" xr:uid="{00000000-0005-0000-0000-000042000000}"/>
    <cellStyle name="C03A" xfId="62" xr:uid="{00000000-0005-0000-0000-000043000000}"/>
    <cellStyle name="C03B" xfId="63" xr:uid="{00000000-0005-0000-0000-000044000000}"/>
    <cellStyle name="C03H" xfId="64" xr:uid="{00000000-0005-0000-0000-000045000000}"/>
    <cellStyle name="C03L" xfId="65" xr:uid="{00000000-0005-0000-0000-000046000000}"/>
    <cellStyle name="C04A" xfId="66" xr:uid="{00000000-0005-0000-0000-000047000000}"/>
    <cellStyle name="C04A 2" xfId="556" xr:uid="{00000000-0005-0000-0000-000048000000}"/>
    <cellStyle name="C04A 3" xfId="376" xr:uid="{00000000-0005-0000-0000-000049000000}"/>
    <cellStyle name="C04B" xfId="67" xr:uid="{00000000-0005-0000-0000-00004A000000}"/>
    <cellStyle name="C04H" xfId="68" xr:uid="{00000000-0005-0000-0000-00004B000000}"/>
    <cellStyle name="C04L" xfId="69" xr:uid="{00000000-0005-0000-0000-00004C000000}"/>
    <cellStyle name="C05A" xfId="70" xr:uid="{00000000-0005-0000-0000-00004D000000}"/>
    <cellStyle name="C05B" xfId="71" xr:uid="{00000000-0005-0000-0000-00004E000000}"/>
    <cellStyle name="C05H" xfId="72" xr:uid="{00000000-0005-0000-0000-00004F000000}"/>
    <cellStyle name="C05L" xfId="73" xr:uid="{00000000-0005-0000-0000-000050000000}"/>
    <cellStyle name="C05L 2" xfId="557" xr:uid="{00000000-0005-0000-0000-000051000000}"/>
    <cellStyle name="C05L 3" xfId="377" xr:uid="{00000000-0005-0000-0000-000052000000}"/>
    <cellStyle name="C06A" xfId="74" xr:uid="{00000000-0005-0000-0000-000053000000}"/>
    <cellStyle name="C06B" xfId="75" xr:uid="{00000000-0005-0000-0000-000054000000}"/>
    <cellStyle name="C06H" xfId="76" xr:uid="{00000000-0005-0000-0000-000055000000}"/>
    <cellStyle name="C06L" xfId="77" xr:uid="{00000000-0005-0000-0000-000056000000}"/>
    <cellStyle name="C07A" xfId="78" xr:uid="{00000000-0005-0000-0000-000057000000}"/>
    <cellStyle name="C07B" xfId="79" xr:uid="{00000000-0005-0000-0000-000058000000}"/>
    <cellStyle name="C07H" xfId="80" xr:uid="{00000000-0005-0000-0000-000059000000}"/>
    <cellStyle name="C07L" xfId="81" xr:uid="{00000000-0005-0000-0000-00005A000000}"/>
    <cellStyle name="Calculation" xfId="82" builtinId="22" customBuiltin="1"/>
    <cellStyle name="Calculation 2" xfId="83" xr:uid="{00000000-0005-0000-0000-00005C000000}"/>
    <cellStyle name="Calculation 2 2" xfId="379" xr:uid="{00000000-0005-0000-0000-00005D000000}"/>
    <cellStyle name="Calculation 3" xfId="378" xr:uid="{00000000-0005-0000-0000-00005E000000}"/>
    <cellStyle name="Check Cell" xfId="84" builtinId="23" customBuiltin="1"/>
    <cellStyle name="Check Cell 2" xfId="85" xr:uid="{00000000-0005-0000-0000-000060000000}"/>
    <cellStyle name="Comma" xfId="86" builtinId="3"/>
    <cellStyle name="Comma [0] 2" xfId="365" xr:uid="{00000000-0005-0000-0000-000062000000}"/>
    <cellStyle name="Comma 10" xfId="87" xr:uid="{00000000-0005-0000-0000-000063000000}"/>
    <cellStyle name="Comma 10 2" xfId="558" xr:uid="{00000000-0005-0000-0000-000064000000}"/>
    <cellStyle name="Comma 11" xfId="361" xr:uid="{00000000-0005-0000-0000-000065000000}"/>
    <cellStyle name="Comma 12" xfId="370" xr:uid="{00000000-0005-0000-0000-000066000000}"/>
    <cellStyle name="Comma 12 2" xfId="88" xr:uid="{00000000-0005-0000-0000-000067000000}"/>
    <cellStyle name="Comma 12 2 2" xfId="559" xr:uid="{00000000-0005-0000-0000-000068000000}"/>
    <cellStyle name="Comma 12 2 3" xfId="380" xr:uid="{00000000-0005-0000-0000-000069000000}"/>
    <cellStyle name="Comma 13" xfId="743" xr:uid="{88C1D1B9-D26B-49E0-B160-6B96B3DD7181}"/>
    <cellStyle name="Comma 141" xfId="756" xr:uid="{B909666D-6E74-4215-958A-CBE8D85BF66A}"/>
    <cellStyle name="Comma 2" xfId="89" xr:uid="{00000000-0005-0000-0000-00006A000000}"/>
    <cellStyle name="Comma 2 2" xfId="90" xr:uid="{00000000-0005-0000-0000-00006B000000}"/>
    <cellStyle name="Comma 2 2 2" xfId="561" xr:uid="{00000000-0005-0000-0000-00006C000000}"/>
    <cellStyle name="Comma 2 2 3" xfId="382" xr:uid="{00000000-0005-0000-0000-00006D000000}"/>
    <cellStyle name="Comma 2 3" xfId="560" xr:uid="{00000000-0005-0000-0000-00006E000000}"/>
    <cellStyle name="Comma 2 4" xfId="381" xr:uid="{00000000-0005-0000-0000-00006F000000}"/>
    <cellStyle name="Comma 3" xfId="91" xr:uid="{00000000-0005-0000-0000-000070000000}"/>
    <cellStyle name="Comma 3 10" xfId="92" xr:uid="{00000000-0005-0000-0000-000071000000}"/>
    <cellStyle name="Comma 3 10 2" xfId="562" xr:uid="{00000000-0005-0000-0000-000072000000}"/>
    <cellStyle name="Comma 3 2" xfId="93" xr:uid="{00000000-0005-0000-0000-000073000000}"/>
    <cellStyle name="Comma 3 2 2" xfId="563" xr:uid="{00000000-0005-0000-0000-000074000000}"/>
    <cellStyle name="Comma 3 2 3" xfId="383" xr:uid="{00000000-0005-0000-0000-000075000000}"/>
    <cellStyle name="Comma 3 3" xfId="94" xr:uid="{00000000-0005-0000-0000-000076000000}"/>
    <cellStyle name="Comma 3 3 2" xfId="95" xr:uid="{00000000-0005-0000-0000-000077000000}"/>
    <cellStyle name="Comma 3 3 2 2" xfId="565" xr:uid="{00000000-0005-0000-0000-000078000000}"/>
    <cellStyle name="Comma 3 3 2 3" xfId="385" xr:uid="{00000000-0005-0000-0000-000079000000}"/>
    <cellStyle name="Comma 3 3 3" xfId="96" xr:uid="{00000000-0005-0000-0000-00007A000000}"/>
    <cellStyle name="Comma 3 3 3 2" xfId="566" xr:uid="{00000000-0005-0000-0000-00007B000000}"/>
    <cellStyle name="Comma 3 3 3 3" xfId="386" xr:uid="{00000000-0005-0000-0000-00007C000000}"/>
    <cellStyle name="Comma 3 3 4" xfId="564" xr:uid="{00000000-0005-0000-0000-00007D000000}"/>
    <cellStyle name="Comma 3 3 5" xfId="384" xr:uid="{00000000-0005-0000-0000-00007E000000}"/>
    <cellStyle name="Comma 3 4" xfId="97" xr:uid="{00000000-0005-0000-0000-00007F000000}"/>
    <cellStyle name="Comma 3 4 2" xfId="98" xr:uid="{00000000-0005-0000-0000-000080000000}"/>
    <cellStyle name="Comma 3 4 2 2" xfId="568" xr:uid="{00000000-0005-0000-0000-000081000000}"/>
    <cellStyle name="Comma 3 4 2 3" xfId="388" xr:uid="{00000000-0005-0000-0000-000082000000}"/>
    <cellStyle name="Comma 3 4 3" xfId="99" xr:uid="{00000000-0005-0000-0000-000083000000}"/>
    <cellStyle name="Comma 3 4 3 2" xfId="569" xr:uid="{00000000-0005-0000-0000-000084000000}"/>
    <cellStyle name="Comma 3 4 3 3" xfId="389" xr:uid="{00000000-0005-0000-0000-000085000000}"/>
    <cellStyle name="Comma 3 4 4" xfId="567" xr:uid="{00000000-0005-0000-0000-000086000000}"/>
    <cellStyle name="Comma 3 4 5" xfId="387" xr:uid="{00000000-0005-0000-0000-000087000000}"/>
    <cellStyle name="Comma 3 5" xfId="100" xr:uid="{00000000-0005-0000-0000-000088000000}"/>
    <cellStyle name="Comma 3 5 2" xfId="570" xr:uid="{00000000-0005-0000-0000-000089000000}"/>
    <cellStyle name="Comma 3 5 3" xfId="390" xr:uid="{00000000-0005-0000-0000-00008A000000}"/>
    <cellStyle name="Comma 3 6" xfId="101" xr:uid="{00000000-0005-0000-0000-00008B000000}"/>
    <cellStyle name="Comma 3 6 2" xfId="102" xr:uid="{00000000-0005-0000-0000-00008C000000}"/>
    <cellStyle name="Comma 3 6 2 2" xfId="572" xr:uid="{00000000-0005-0000-0000-00008D000000}"/>
    <cellStyle name="Comma 3 6 2 3" xfId="392" xr:uid="{00000000-0005-0000-0000-00008E000000}"/>
    <cellStyle name="Comma 3 6 3" xfId="571" xr:uid="{00000000-0005-0000-0000-00008F000000}"/>
    <cellStyle name="Comma 3 6 4" xfId="391" xr:uid="{00000000-0005-0000-0000-000090000000}"/>
    <cellStyle name="Comma 3 7" xfId="103" xr:uid="{00000000-0005-0000-0000-000091000000}"/>
    <cellStyle name="Comma 3 7 2" xfId="104" xr:uid="{00000000-0005-0000-0000-000092000000}"/>
    <cellStyle name="Comma 3 7 2 2" xfId="574" xr:uid="{00000000-0005-0000-0000-000093000000}"/>
    <cellStyle name="Comma 3 7 2 3" xfId="394" xr:uid="{00000000-0005-0000-0000-000094000000}"/>
    <cellStyle name="Comma 3 7 3" xfId="573" xr:uid="{00000000-0005-0000-0000-000095000000}"/>
    <cellStyle name="Comma 3 7 4" xfId="393" xr:uid="{00000000-0005-0000-0000-000096000000}"/>
    <cellStyle name="Comma 3 8" xfId="105" xr:uid="{00000000-0005-0000-0000-000097000000}"/>
    <cellStyle name="Comma 3 8 2" xfId="575" xr:uid="{00000000-0005-0000-0000-000098000000}"/>
    <cellStyle name="Comma 3 8 3" xfId="395" xr:uid="{00000000-0005-0000-0000-000099000000}"/>
    <cellStyle name="Comma 3 9" xfId="106" xr:uid="{00000000-0005-0000-0000-00009A000000}"/>
    <cellStyle name="Comma 3 9 2" xfId="107" xr:uid="{00000000-0005-0000-0000-00009B000000}"/>
    <cellStyle name="Comma 3 9 2 2" xfId="745" xr:uid="{25810F1E-D100-487A-B2CE-4188AA0A6D13}"/>
    <cellStyle name="Comma 3 9 3" xfId="553" xr:uid="{00000000-0005-0000-0000-00009C000000}"/>
    <cellStyle name="Comma 4" xfId="108" xr:uid="{00000000-0005-0000-0000-00009D000000}"/>
    <cellStyle name="Comma 4 2" xfId="109" xr:uid="{00000000-0005-0000-0000-00009E000000}"/>
    <cellStyle name="Comma 4 2 2" xfId="577" xr:uid="{00000000-0005-0000-0000-00009F000000}"/>
    <cellStyle name="Comma 4 2 3" xfId="397" xr:uid="{00000000-0005-0000-0000-0000A0000000}"/>
    <cellStyle name="Comma 4 3" xfId="576" xr:uid="{00000000-0005-0000-0000-0000A1000000}"/>
    <cellStyle name="Comma 4 4" xfId="396" xr:uid="{00000000-0005-0000-0000-0000A2000000}"/>
    <cellStyle name="Comma 5" xfId="110" xr:uid="{00000000-0005-0000-0000-0000A3000000}"/>
    <cellStyle name="Comma 5 2" xfId="111" xr:uid="{00000000-0005-0000-0000-0000A4000000}"/>
    <cellStyle name="Comma 5 2 2" xfId="579" xr:uid="{00000000-0005-0000-0000-0000A5000000}"/>
    <cellStyle name="Comma 5 2 3" xfId="399" xr:uid="{00000000-0005-0000-0000-0000A6000000}"/>
    <cellStyle name="Comma 5 3" xfId="578" xr:uid="{00000000-0005-0000-0000-0000A7000000}"/>
    <cellStyle name="Comma 5 4" xfId="398" xr:uid="{00000000-0005-0000-0000-0000A8000000}"/>
    <cellStyle name="Comma 6" xfId="112" xr:uid="{00000000-0005-0000-0000-0000A9000000}"/>
    <cellStyle name="Comma 6 2" xfId="113" xr:uid="{00000000-0005-0000-0000-0000AA000000}"/>
    <cellStyle name="Comma 6 2 2" xfId="581" xr:uid="{00000000-0005-0000-0000-0000AB000000}"/>
    <cellStyle name="Comma 6 2 3" xfId="401" xr:uid="{00000000-0005-0000-0000-0000AC000000}"/>
    <cellStyle name="Comma 6 3" xfId="114" xr:uid="{00000000-0005-0000-0000-0000AD000000}"/>
    <cellStyle name="Comma 6 3 2" xfId="582" xr:uid="{00000000-0005-0000-0000-0000AE000000}"/>
    <cellStyle name="Comma 6 3 3" xfId="402" xr:uid="{00000000-0005-0000-0000-0000AF000000}"/>
    <cellStyle name="Comma 6 4" xfId="580" xr:uid="{00000000-0005-0000-0000-0000B0000000}"/>
    <cellStyle name="Comma 6 5" xfId="400" xr:uid="{00000000-0005-0000-0000-0000B1000000}"/>
    <cellStyle name="Comma 7" xfId="115" xr:uid="{00000000-0005-0000-0000-0000B2000000}"/>
    <cellStyle name="Comma 7 2" xfId="116" xr:uid="{00000000-0005-0000-0000-0000B3000000}"/>
    <cellStyle name="Comma 7 2 2" xfId="584" xr:uid="{00000000-0005-0000-0000-0000B4000000}"/>
    <cellStyle name="Comma 7 2 3" xfId="404" xr:uid="{00000000-0005-0000-0000-0000B5000000}"/>
    <cellStyle name="Comma 7 3" xfId="117" xr:uid="{00000000-0005-0000-0000-0000B6000000}"/>
    <cellStyle name="Comma 7 3 2" xfId="585" xr:uid="{00000000-0005-0000-0000-0000B7000000}"/>
    <cellStyle name="Comma 7 3 3" xfId="405" xr:uid="{00000000-0005-0000-0000-0000B8000000}"/>
    <cellStyle name="Comma 7 4" xfId="118" xr:uid="{00000000-0005-0000-0000-0000B9000000}"/>
    <cellStyle name="Comma 7 4 2" xfId="583" xr:uid="{00000000-0005-0000-0000-0000BA000000}"/>
    <cellStyle name="Comma 7 5" xfId="403" xr:uid="{00000000-0005-0000-0000-0000BB000000}"/>
    <cellStyle name="Comma 8" xfId="119" xr:uid="{00000000-0005-0000-0000-0000BC000000}"/>
    <cellStyle name="Comma 8 2" xfId="586" xr:uid="{00000000-0005-0000-0000-0000BD000000}"/>
    <cellStyle name="Comma 8 3" xfId="406" xr:uid="{00000000-0005-0000-0000-0000BE000000}"/>
    <cellStyle name="Comma 9" xfId="120" xr:uid="{00000000-0005-0000-0000-0000BF000000}"/>
    <cellStyle name="Comma 9 2" xfId="360" xr:uid="{00000000-0005-0000-0000-0000C0000000}"/>
    <cellStyle name="Comma 9 2 2" xfId="740" xr:uid="{00000000-0005-0000-0000-0000C1000000}"/>
    <cellStyle name="Comma 9 2 3" xfId="753" xr:uid="{BE5ECFEB-9954-4E71-97F2-1C0002CB02B5}"/>
    <cellStyle name="Comma 9 3" xfId="367" xr:uid="{00000000-0005-0000-0000-0000C2000000}"/>
    <cellStyle name="Comma 9 3 2" xfId="755" xr:uid="{A24C17DA-2247-42EC-8EAE-6FBFEA1767E2}"/>
    <cellStyle name="Comma 9 4" xfId="587" xr:uid="{00000000-0005-0000-0000-0000C3000000}"/>
    <cellStyle name="Comma_spp calc - revsd rev crd" xfId="121" xr:uid="{00000000-0005-0000-0000-0000C4000000}"/>
    <cellStyle name="Comma0" xfId="122" xr:uid="{00000000-0005-0000-0000-0000C5000000}"/>
    <cellStyle name="Comma0 2" xfId="588" xr:uid="{00000000-0005-0000-0000-0000C6000000}"/>
    <cellStyle name="Comma0 3" xfId="407" xr:uid="{00000000-0005-0000-0000-0000C7000000}"/>
    <cellStyle name="Currency" xfId="123" builtinId="4"/>
    <cellStyle name="Currency [0] 2" xfId="364" xr:uid="{00000000-0005-0000-0000-0000C9000000}"/>
    <cellStyle name="Currency 10" xfId="363" xr:uid="{00000000-0005-0000-0000-0000CA000000}"/>
    <cellStyle name="Currency 2" xfId="124" xr:uid="{00000000-0005-0000-0000-0000CB000000}"/>
    <cellStyle name="Currency 2 2" xfId="125" xr:uid="{00000000-0005-0000-0000-0000CC000000}"/>
    <cellStyle name="Currency 2 2 2" xfId="591" xr:uid="{00000000-0005-0000-0000-0000CD000000}"/>
    <cellStyle name="Currency 2 2 3" xfId="409" xr:uid="{00000000-0005-0000-0000-0000CE000000}"/>
    <cellStyle name="Currency 2 3" xfId="590" xr:uid="{00000000-0005-0000-0000-0000CF000000}"/>
    <cellStyle name="Currency 2 4" xfId="408" xr:uid="{00000000-0005-0000-0000-0000D0000000}"/>
    <cellStyle name="Currency 3" xfId="126" xr:uid="{00000000-0005-0000-0000-0000D1000000}"/>
    <cellStyle name="Currency 3 2" xfId="127" xr:uid="{00000000-0005-0000-0000-0000D2000000}"/>
    <cellStyle name="Currency 3 2 2" xfId="593" xr:uid="{00000000-0005-0000-0000-0000D3000000}"/>
    <cellStyle name="Currency 3 2 3" xfId="410" xr:uid="{00000000-0005-0000-0000-0000D4000000}"/>
    <cellStyle name="Currency 3 3" xfId="128" xr:uid="{00000000-0005-0000-0000-0000D5000000}"/>
    <cellStyle name="Currency 3 3 2" xfId="129" xr:uid="{00000000-0005-0000-0000-0000D6000000}"/>
    <cellStyle name="Currency 3 3 2 2" xfId="595" xr:uid="{00000000-0005-0000-0000-0000D7000000}"/>
    <cellStyle name="Currency 3 3 2 3" xfId="412" xr:uid="{00000000-0005-0000-0000-0000D8000000}"/>
    <cellStyle name="Currency 3 3 3" xfId="130" xr:uid="{00000000-0005-0000-0000-0000D9000000}"/>
    <cellStyle name="Currency 3 3 3 2" xfId="596" xr:uid="{00000000-0005-0000-0000-0000DA000000}"/>
    <cellStyle name="Currency 3 3 3 3" xfId="413" xr:uid="{00000000-0005-0000-0000-0000DB000000}"/>
    <cellStyle name="Currency 3 3 4" xfId="594" xr:uid="{00000000-0005-0000-0000-0000DC000000}"/>
    <cellStyle name="Currency 3 3 5" xfId="411" xr:uid="{00000000-0005-0000-0000-0000DD000000}"/>
    <cellStyle name="Currency 3 4" xfId="131" xr:uid="{00000000-0005-0000-0000-0000DE000000}"/>
    <cellStyle name="Currency 3 4 2" xfId="132" xr:uid="{00000000-0005-0000-0000-0000DF000000}"/>
    <cellStyle name="Currency 3 4 2 2" xfId="598" xr:uid="{00000000-0005-0000-0000-0000E0000000}"/>
    <cellStyle name="Currency 3 4 2 3" xfId="415" xr:uid="{00000000-0005-0000-0000-0000E1000000}"/>
    <cellStyle name="Currency 3 4 3" xfId="133" xr:uid="{00000000-0005-0000-0000-0000E2000000}"/>
    <cellStyle name="Currency 3 4 3 2" xfId="599" xr:uid="{00000000-0005-0000-0000-0000E3000000}"/>
    <cellStyle name="Currency 3 4 3 3" xfId="416" xr:uid="{00000000-0005-0000-0000-0000E4000000}"/>
    <cellStyle name="Currency 3 4 4" xfId="597" xr:uid="{00000000-0005-0000-0000-0000E5000000}"/>
    <cellStyle name="Currency 3 4 5" xfId="414" xr:uid="{00000000-0005-0000-0000-0000E6000000}"/>
    <cellStyle name="Currency 3 5" xfId="134" xr:uid="{00000000-0005-0000-0000-0000E7000000}"/>
    <cellStyle name="Currency 3 5 2" xfId="600" xr:uid="{00000000-0005-0000-0000-0000E8000000}"/>
    <cellStyle name="Currency 3 5 3" xfId="417" xr:uid="{00000000-0005-0000-0000-0000E9000000}"/>
    <cellStyle name="Currency 3 6" xfId="135" xr:uid="{00000000-0005-0000-0000-0000EA000000}"/>
    <cellStyle name="Currency 3 6 2" xfId="136" xr:uid="{00000000-0005-0000-0000-0000EB000000}"/>
    <cellStyle name="Currency 3 6 2 2" xfId="602" xr:uid="{00000000-0005-0000-0000-0000EC000000}"/>
    <cellStyle name="Currency 3 6 2 3" xfId="419" xr:uid="{00000000-0005-0000-0000-0000ED000000}"/>
    <cellStyle name="Currency 3 6 3" xfId="601" xr:uid="{00000000-0005-0000-0000-0000EE000000}"/>
    <cellStyle name="Currency 3 6 4" xfId="418" xr:uid="{00000000-0005-0000-0000-0000EF000000}"/>
    <cellStyle name="Currency 3 7" xfId="137" xr:uid="{00000000-0005-0000-0000-0000F0000000}"/>
    <cellStyle name="Currency 3 7 2" xfId="603" xr:uid="{00000000-0005-0000-0000-0000F1000000}"/>
    <cellStyle name="Currency 3 7 3" xfId="420" xr:uid="{00000000-0005-0000-0000-0000F2000000}"/>
    <cellStyle name="Currency 3 8" xfId="138" xr:uid="{00000000-0005-0000-0000-0000F3000000}"/>
    <cellStyle name="Currency 3 8 2" xfId="604" xr:uid="{00000000-0005-0000-0000-0000F4000000}"/>
    <cellStyle name="Currency 3 9" xfId="139" xr:uid="{00000000-0005-0000-0000-0000F5000000}"/>
    <cellStyle name="Currency 3 9 2" xfId="592" xr:uid="{00000000-0005-0000-0000-0000F6000000}"/>
    <cellStyle name="Currency 4" xfId="140" xr:uid="{00000000-0005-0000-0000-0000F7000000}"/>
    <cellStyle name="Currency 4 2" xfId="141" xr:uid="{00000000-0005-0000-0000-0000F8000000}"/>
    <cellStyle name="Currency 4 2 2" xfId="606" xr:uid="{00000000-0005-0000-0000-0000F9000000}"/>
    <cellStyle name="Currency 4 2 3" xfId="422" xr:uid="{00000000-0005-0000-0000-0000FA000000}"/>
    <cellStyle name="Currency 4 3" xfId="605" xr:uid="{00000000-0005-0000-0000-0000FB000000}"/>
    <cellStyle name="Currency 4 4" xfId="421" xr:uid="{00000000-0005-0000-0000-0000FC000000}"/>
    <cellStyle name="Currency 5" xfId="142" xr:uid="{00000000-0005-0000-0000-0000FD000000}"/>
    <cellStyle name="Currency 5 2" xfId="143" xr:uid="{00000000-0005-0000-0000-0000FE000000}"/>
    <cellStyle name="Currency 5 2 2" xfId="608" xr:uid="{00000000-0005-0000-0000-0000FF000000}"/>
    <cellStyle name="Currency 5 2 3" xfId="424" xr:uid="{00000000-0005-0000-0000-000000010000}"/>
    <cellStyle name="Currency 5 3" xfId="607" xr:uid="{00000000-0005-0000-0000-000001010000}"/>
    <cellStyle name="Currency 5 4" xfId="423" xr:uid="{00000000-0005-0000-0000-000002010000}"/>
    <cellStyle name="Currency 6" xfId="144" xr:uid="{00000000-0005-0000-0000-000003010000}"/>
    <cellStyle name="Currency 6 2" xfId="609" xr:uid="{00000000-0005-0000-0000-000004010000}"/>
    <cellStyle name="Currency 6 3" xfId="425" xr:uid="{00000000-0005-0000-0000-000005010000}"/>
    <cellStyle name="Currency 7" xfId="145" xr:uid="{00000000-0005-0000-0000-000006010000}"/>
    <cellStyle name="Currency 7 2" xfId="610" xr:uid="{00000000-0005-0000-0000-000007010000}"/>
    <cellStyle name="Currency 7 3" xfId="426" xr:uid="{00000000-0005-0000-0000-000008010000}"/>
    <cellStyle name="Currency 8" xfId="146" xr:uid="{00000000-0005-0000-0000-000009010000}"/>
    <cellStyle name="Currency 8 2" xfId="611" xr:uid="{00000000-0005-0000-0000-00000A010000}"/>
    <cellStyle name="Currency 9" xfId="147" xr:uid="{00000000-0005-0000-0000-00000B010000}"/>
    <cellStyle name="Currency 9 2" xfId="589" xr:uid="{00000000-0005-0000-0000-00000C010000}"/>
    <cellStyle name="Currency0" xfId="148" xr:uid="{00000000-0005-0000-0000-00000D010000}"/>
    <cellStyle name="Currency0 2" xfId="612" xr:uid="{00000000-0005-0000-0000-00000E010000}"/>
    <cellStyle name="Currency0 3" xfId="427" xr:uid="{00000000-0005-0000-0000-00000F010000}"/>
    <cellStyle name="Date" xfId="149" xr:uid="{00000000-0005-0000-0000-000010010000}"/>
    <cellStyle name="Date 2" xfId="613" xr:uid="{00000000-0005-0000-0000-000011010000}"/>
    <cellStyle name="Date 3" xfId="428" xr:uid="{00000000-0005-0000-0000-000012010000}"/>
    <cellStyle name="Explanatory Text" xfId="150" builtinId="53" customBuiltin="1"/>
    <cellStyle name="Explanatory Text 2" xfId="151" xr:uid="{00000000-0005-0000-0000-000014010000}"/>
    <cellStyle name="Fixed" xfId="152" xr:uid="{00000000-0005-0000-0000-000015010000}"/>
    <cellStyle name="Fixed 2" xfId="614" xr:uid="{00000000-0005-0000-0000-000016010000}"/>
    <cellStyle name="Fixed 3" xfId="429" xr:uid="{00000000-0005-0000-0000-000017010000}"/>
    <cellStyle name="Good" xfId="153" builtinId="26" customBuiltin="1"/>
    <cellStyle name="Good 2" xfId="154" xr:uid="{00000000-0005-0000-0000-000019010000}"/>
    <cellStyle name="Heading 1" xfId="155" builtinId="16" customBuiltin="1"/>
    <cellStyle name="Heading 1 2" xfId="156" xr:uid="{00000000-0005-0000-0000-00001B010000}"/>
    <cellStyle name="Heading 2" xfId="157" builtinId="17" customBuiltin="1"/>
    <cellStyle name="Heading 2 2" xfId="158" xr:uid="{00000000-0005-0000-0000-00001D010000}"/>
    <cellStyle name="Heading 3" xfId="159" builtinId="18" customBuiltin="1"/>
    <cellStyle name="Heading 3 2" xfId="160" xr:uid="{00000000-0005-0000-0000-00001F010000}"/>
    <cellStyle name="Heading 4" xfId="161" builtinId="19" customBuiltin="1"/>
    <cellStyle name="Heading 4 2" xfId="162" xr:uid="{00000000-0005-0000-0000-000021010000}"/>
    <cellStyle name="Heading1" xfId="163" xr:uid="{00000000-0005-0000-0000-000022010000}"/>
    <cellStyle name="Heading2" xfId="164" xr:uid="{00000000-0005-0000-0000-000023010000}"/>
    <cellStyle name="Input" xfId="165" builtinId="20" customBuiltin="1"/>
    <cellStyle name="Input 2" xfId="166" xr:uid="{00000000-0005-0000-0000-000025010000}"/>
    <cellStyle name="Input 2 2" xfId="431" xr:uid="{00000000-0005-0000-0000-000026010000}"/>
    <cellStyle name="Input 3" xfId="430" xr:uid="{00000000-0005-0000-0000-000027010000}"/>
    <cellStyle name="Linked Cell" xfId="167" builtinId="24" customBuiltin="1"/>
    <cellStyle name="Linked Cell 2" xfId="168" xr:uid="{00000000-0005-0000-0000-000029010000}"/>
    <cellStyle name="Neutral" xfId="169" builtinId="28" customBuiltin="1"/>
    <cellStyle name="Neutral 2" xfId="170" xr:uid="{00000000-0005-0000-0000-00002B010000}"/>
    <cellStyle name="Normal" xfId="0" builtinId="0"/>
    <cellStyle name="Normal 10" xfId="171" xr:uid="{00000000-0005-0000-0000-00002D010000}"/>
    <cellStyle name="Normal 10 2" xfId="172" xr:uid="{00000000-0005-0000-0000-00002E010000}"/>
    <cellStyle name="Normal 10 2 2" xfId="616" xr:uid="{00000000-0005-0000-0000-00002F010000}"/>
    <cellStyle name="Normal 10 2 3" xfId="433" xr:uid="{00000000-0005-0000-0000-000030010000}"/>
    <cellStyle name="Normal 10 3" xfId="173" xr:uid="{00000000-0005-0000-0000-000031010000}"/>
    <cellStyle name="Normal 10 3 2" xfId="617" xr:uid="{00000000-0005-0000-0000-000032010000}"/>
    <cellStyle name="Normal 10 3 3" xfId="434" xr:uid="{00000000-0005-0000-0000-000033010000}"/>
    <cellStyle name="Normal 10 4" xfId="615" xr:uid="{00000000-0005-0000-0000-000034010000}"/>
    <cellStyle name="Normal 10 5" xfId="432" xr:uid="{00000000-0005-0000-0000-000035010000}"/>
    <cellStyle name="Normal 11" xfId="174" xr:uid="{00000000-0005-0000-0000-000036010000}"/>
    <cellStyle name="Normal 11 2" xfId="175" xr:uid="{00000000-0005-0000-0000-000037010000}"/>
    <cellStyle name="Normal 11 2 2" xfId="619" xr:uid="{00000000-0005-0000-0000-000038010000}"/>
    <cellStyle name="Normal 11 2 2 2" xfId="757" xr:uid="{73A23DE3-50D0-43FA-9779-AF94534307C7}"/>
    <cellStyle name="Normal 11 2 3" xfId="436" xr:uid="{00000000-0005-0000-0000-000039010000}"/>
    <cellStyle name="Normal 11 3" xfId="176" xr:uid="{00000000-0005-0000-0000-00003A010000}"/>
    <cellStyle name="Normal 11 3 2" xfId="620" xr:uid="{00000000-0005-0000-0000-00003B010000}"/>
    <cellStyle name="Normal 11 3 3" xfId="437" xr:uid="{00000000-0005-0000-0000-00003C010000}"/>
    <cellStyle name="Normal 11 4" xfId="618" xr:uid="{00000000-0005-0000-0000-00003D010000}"/>
    <cellStyle name="Normal 11 5" xfId="435" xr:uid="{00000000-0005-0000-0000-00003E010000}"/>
    <cellStyle name="Normal 12" xfId="177" xr:uid="{00000000-0005-0000-0000-00003F010000}"/>
    <cellStyle name="Normal 12 2" xfId="178" xr:uid="{00000000-0005-0000-0000-000040010000}"/>
    <cellStyle name="Normal 12 2 2" xfId="622" xr:uid="{00000000-0005-0000-0000-000041010000}"/>
    <cellStyle name="Normal 12 2 3" xfId="439" xr:uid="{00000000-0005-0000-0000-000042010000}"/>
    <cellStyle name="Normal 12 3" xfId="621" xr:uid="{00000000-0005-0000-0000-000043010000}"/>
    <cellStyle name="Normal 12 4" xfId="179" xr:uid="{00000000-0005-0000-0000-000044010000}"/>
    <cellStyle name="Normal 12 4 2" xfId="623" xr:uid="{00000000-0005-0000-0000-000045010000}"/>
    <cellStyle name="Normal 12 4 3" xfId="440" xr:uid="{00000000-0005-0000-0000-000046010000}"/>
    <cellStyle name="Normal 12 4 4" xfId="746" xr:uid="{E02B15FE-CC6D-4D7B-9B47-EF37E7F33693}"/>
    <cellStyle name="Normal 12 5" xfId="438" xr:uid="{00000000-0005-0000-0000-000047010000}"/>
    <cellStyle name="Normal 13" xfId="180" xr:uid="{00000000-0005-0000-0000-000048010000}"/>
    <cellStyle name="Normal 13 2" xfId="181" xr:uid="{00000000-0005-0000-0000-000049010000}"/>
    <cellStyle name="Normal 13 2 2" xfId="625" xr:uid="{00000000-0005-0000-0000-00004A010000}"/>
    <cellStyle name="Normal 13 2 3" xfId="442" xr:uid="{00000000-0005-0000-0000-00004B010000}"/>
    <cellStyle name="Normal 13 3" xfId="624" xr:uid="{00000000-0005-0000-0000-00004C010000}"/>
    <cellStyle name="Normal 13 4" xfId="441" xr:uid="{00000000-0005-0000-0000-00004D010000}"/>
    <cellStyle name="Normal 14" xfId="182" xr:uid="{00000000-0005-0000-0000-00004E010000}"/>
    <cellStyle name="Normal 14 2" xfId="183" xr:uid="{00000000-0005-0000-0000-00004F010000}"/>
    <cellStyle name="Normal 14 2 2" xfId="627" xr:uid="{00000000-0005-0000-0000-000050010000}"/>
    <cellStyle name="Normal 14 2 3" xfId="444" xr:uid="{00000000-0005-0000-0000-000051010000}"/>
    <cellStyle name="Normal 14 3" xfId="626" xr:uid="{00000000-0005-0000-0000-000052010000}"/>
    <cellStyle name="Normal 14 4" xfId="443" xr:uid="{00000000-0005-0000-0000-000053010000}"/>
    <cellStyle name="Normal 15" xfId="184" xr:uid="{00000000-0005-0000-0000-000054010000}"/>
    <cellStyle name="Normal 15 2" xfId="628" xr:uid="{00000000-0005-0000-0000-000055010000}"/>
    <cellStyle name="Normal 15 3" xfId="445" xr:uid="{00000000-0005-0000-0000-000056010000}"/>
    <cellStyle name="Normal 16" xfId="185" xr:uid="{00000000-0005-0000-0000-000057010000}"/>
    <cellStyle name="Normal 16 2" xfId="186" xr:uid="{00000000-0005-0000-0000-000058010000}"/>
    <cellStyle name="Normal 16 2 2" xfId="630" xr:uid="{00000000-0005-0000-0000-000059010000}"/>
    <cellStyle name="Normal 16 2 3" xfId="447" xr:uid="{00000000-0005-0000-0000-00005A010000}"/>
    <cellStyle name="Normal 16 3" xfId="629" xr:uid="{00000000-0005-0000-0000-00005B010000}"/>
    <cellStyle name="Normal 16 4" xfId="446" xr:uid="{00000000-0005-0000-0000-00005C010000}"/>
    <cellStyle name="Normal 17" xfId="187" xr:uid="{00000000-0005-0000-0000-00005D010000}"/>
    <cellStyle name="Normal 17 2" xfId="188" xr:uid="{00000000-0005-0000-0000-00005E010000}"/>
    <cellStyle name="Normal 17 2 2" xfId="632" xr:uid="{00000000-0005-0000-0000-00005F010000}"/>
    <cellStyle name="Normal 17 2 3" xfId="449" xr:uid="{00000000-0005-0000-0000-000060010000}"/>
    <cellStyle name="Normal 17 3" xfId="631" xr:uid="{00000000-0005-0000-0000-000061010000}"/>
    <cellStyle name="Normal 17 4" xfId="448" xr:uid="{00000000-0005-0000-0000-000062010000}"/>
    <cellStyle name="Normal 18" xfId="189" xr:uid="{00000000-0005-0000-0000-000063010000}"/>
    <cellStyle name="Normal 18 2" xfId="190" xr:uid="{00000000-0005-0000-0000-000064010000}"/>
    <cellStyle name="Normal 18 2 2" xfId="634" xr:uid="{00000000-0005-0000-0000-000065010000}"/>
    <cellStyle name="Normal 18 2 3" xfId="451" xr:uid="{00000000-0005-0000-0000-000066010000}"/>
    <cellStyle name="Normal 18 3" xfId="633" xr:uid="{00000000-0005-0000-0000-000067010000}"/>
    <cellStyle name="Normal 18 4" xfId="450" xr:uid="{00000000-0005-0000-0000-000068010000}"/>
    <cellStyle name="Normal 19" xfId="191" xr:uid="{00000000-0005-0000-0000-000069010000}"/>
    <cellStyle name="Normal 19 2" xfId="192" xr:uid="{00000000-0005-0000-0000-00006A010000}"/>
    <cellStyle name="Normal 19 2 2" xfId="636" xr:uid="{00000000-0005-0000-0000-00006B010000}"/>
    <cellStyle name="Normal 19 2 3" xfId="453" xr:uid="{00000000-0005-0000-0000-00006C010000}"/>
    <cellStyle name="Normal 19 3" xfId="635" xr:uid="{00000000-0005-0000-0000-00006D010000}"/>
    <cellStyle name="Normal 19 4" xfId="452" xr:uid="{00000000-0005-0000-0000-00006E010000}"/>
    <cellStyle name="Normal 2" xfId="193" xr:uid="{00000000-0005-0000-0000-00006F010000}"/>
    <cellStyle name="Normal 2 2" xfId="194" xr:uid="{00000000-0005-0000-0000-000070010000}"/>
    <cellStyle name="Normal 2 2 2" xfId="195" xr:uid="{00000000-0005-0000-0000-000071010000}"/>
    <cellStyle name="Normal 2 2 3" xfId="196" xr:uid="{00000000-0005-0000-0000-000072010000}"/>
    <cellStyle name="Normal 2 2 3 2" xfId="639" xr:uid="{00000000-0005-0000-0000-000073010000}"/>
    <cellStyle name="Normal 2 2 3 3" xfId="456" xr:uid="{00000000-0005-0000-0000-000074010000}"/>
    <cellStyle name="Normal 2 2 4" xfId="197" xr:uid="{00000000-0005-0000-0000-000075010000}"/>
    <cellStyle name="Normal 2 2 4 2" xfId="640" xr:uid="{00000000-0005-0000-0000-000076010000}"/>
    <cellStyle name="Normal 2 2 4 3" xfId="457" xr:uid="{00000000-0005-0000-0000-000077010000}"/>
    <cellStyle name="Normal 2 2 5" xfId="638" xr:uid="{00000000-0005-0000-0000-000078010000}"/>
    <cellStyle name="Normal 2 2 6" xfId="455" xr:uid="{00000000-0005-0000-0000-000079010000}"/>
    <cellStyle name="Normal 2 3" xfId="198" xr:uid="{00000000-0005-0000-0000-00007A010000}"/>
    <cellStyle name="Normal 2 4" xfId="199" xr:uid="{00000000-0005-0000-0000-00007B010000}"/>
    <cellStyle name="Normal 2 4 2" xfId="637" xr:uid="{00000000-0005-0000-0000-00007C010000}"/>
    <cellStyle name="Normal 2 5" xfId="200" xr:uid="{00000000-0005-0000-0000-00007D010000}"/>
    <cellStyle name="Normal 2 5 2" xfId="201" xr:uid="{00000000-0005-0000-0000-00007E010000}"/>
    <cellStyle name="Normal 2 5 2 2" xfId="642" xr:uid="{00000000-0005-0000-0000-00007F010000}"/>
    <cellStyle name="Normal 2 5 2 3" xfId="459" xr:uid="{00000000-0005-0000-0000-000080010000}"/>
    <cellStyle name="Normal 2 5 3" xfId="641" xr:uid="{00000000-0005-0000-0000-000081010000}"/>
    <cellStyle name="Normal 2 5 4" xfId="458" xr:uid="{00000000-0005-0000-0000-000082010000}"/>
    <cellStyle name="Normal 2 6" xfId="454" xr:uid="{00000000-0005-0000-0000-000083010000}"/>
    <cellStyle name="Normal 20" xfId="202" xr:uid="{00000000-0005-0000-0000-000084010000}"/>
    <cellStyle name="Normal 20 2" xfId="203" xr:uid="{00000000-0005-0000-0000-000085010000}"/>
    <cellStyle name="Normal 20 2 2" xfId="644" xr:uid="{00000000-0005-0000-0000-000086010000}"/>
    <cellStyle name="Normal 20 2 3" xfId="461" xr:uid="{00000000-0005-0000-0000-000087010000}"/>
    <cellStyle name="Normal 20 3" xfId="643" xr:uid="{00000000-0005-0000-0000-000088010000}"/>
    <cellStyle name="Normal 20 4" xfId="460" xr:uid="{00000000-0005-0000-0000-000089010000}"/>
    <cellStyle name="Normal 21" xfId="204" xr:uid="{00000000-0005-0000-0000-00008A010000}"/>
    <cellStyle name="Normal 21 2" xfId="205" xr:uid="{00000000-0005-0000-0000-00008B010000}"/>
    <cellStyle name="Normal 21 2 2" xfId="646" xr:uid="{00000000-0005-0000-0000-00008C010000}"/>
    <cellStyle name="Normal 21 2 3" xfId="463" xr:uid="{00000000-0005-0000-0000-00008D010000}"/>
    <cellStyle name="Normal 21 3" xfId="645" xr:uid="{00000000-0005-0000-0000-00008E010000}"/>
    <cellStyle name="Normal 21 4" xfId="462" xr:uid="{00000000-0005-0000-0000-00008F010000}"/>
    <cellStyle name="Normal 22" xfId="206" xr:uid="{00000000-0005-0000-0000-000090010000}"/>
    <cellStyle name="Normal 22 2" xfId="207" xr:uid="{00000000-0005-0000-0000-000091010000}"/>
    <cellStyle name="Normal 22 2 2" xfId="648" xr:uid="{00000000-0005-0000-0000-000092010000}"/>
    <cellStyle name="Normal 22 2 3" xfId="465" xr:uid="{00000000-0005-0000-0000-000093010000}"/>
    <cellStyle name="Normal 22 3" xfId="647" xr:uid="{00000000-0005-0000-0000-000094010000}"/>
    <cellStyle name="Normal 22 4" xfId="464" xr:uid="{00000000-0005-0000-0000-000095010000}"/>
    <cellStyle name="Normal 23" xfId="208" xr:uid="{00000000-0005-0000-0000-000096010000}"/>
    <cellStyle name="Normal 23 2" xfId="209" xr:uid="{00000000-0005-0000-0000-000097010000}"/>
    <cellStyle name="Normal 23 2 2" xfId="650" xr:uid="{00000000-0005-0000-0000-000098010000}"/>
    <cellStyle name="Normal 23 2 3" xfId="467" xr:uid="{00000000-0005-0000-0000-000099010000}"/>
    <cellStyle name="Normal 23 3" xfId="649" xr:uid="{00000000-0005-0000-0000-00009A010000}"/>
    <cellStyle name="Normal 23 4" xfId="466" xr:uid="{00000000-0005-0000-0000-00009B010000}"/>
    <cellStyle name="Normal 24" xfId="210" xr:uid="{00000000-0005-0000-0000-00009C010000}"/>
    <cellStyle name="Normal 24 2" xfId="211" xr:uid="{00000000-0005-0000-0000-00009D010000}"/>
    <cellStyle name="Normal 24 2 2" xfId="652" xr:uid="{00000000-0005-0000-0000-00009E010000}"/>
    <cellStyle name="Normal 24 2 3" xfId="469" xr:uid="{00000000-0005-0000-0000-00009F010000}"/>
    <cellStyle name="Normal 24 3" xfId="651" xr:uid="{00000000-0005-0000-0000-0000A0010000}"/>
    <cellStyle name="Normal 24 4" xfId="468" xr:uid="{00000000-0005-0000-0000-0000A1010000}"/>
    <cellStyle name="Normal 25" xfId="212" xr:uid="{00000000-0005-0000-0000-0000A2010000}"/>
    <cellStyle name="Normal 25 2" xfId="213" xr:uid="{00000000-0005-0000-0000-0000A3010000}"/>
    <cellStyle name="Normal 25 2 2" xfId="654" xr:uid="{00000000-0005-0000-0000-0000A4010000}"/>
    <cellStyle name="Normal 25 2 3" xfId="471" xr:uid="{00000000-0005-0000-0000-0000A5010000}"/>
    <cellStyle name="Normal 25 3" xfId="653" xr:uid="{00000000-0005-0000-0000-0000A6010000}"/>
    <cellStyle name="Normal 25 4" xfId="470" xr:uid="{00000000-0005-0000-0000-0000A7010000}"/>
    <cellStyle name="Normal 26" xfId="214" xr:uid="{00000000-0005-0000-0000-0000A8010000}"/>
    <cellStyle name="Normal 26 2" xfId="215" xr:uid="{00000000-0005-0000-0000-0000A9010000}"/>
    <cellStyle name="Normal 26 2 2" xfId="656" xr:uid="{00000000-0005-0000-0000-0000AA010000}"/>
    <cellStyle name="Normal 26 2 3" xfId="473" xr:uid="{00000000-0005-0000-0000-0000AB010000}"/>
    <cellStyle name="Normal 26 3" xfId="655" xr:uid="{00000000-0005-0000-0000-0000AC010000}"/>
    <cellStyle name="Normal 26 4" xfId="472" xr:uid="{00000000-0005-0000-0000-0000AD010000}"/>
    <cellStyle name="Normal 27" xfId="216" xr:uid="{00000000-0005-0000-0000-0000AE010000}"/>
    <cellStyle name="Normal 27 2" xfId="657" xr:uid="{00000000-0005-0000-0000-0000AF010000}"/>
    <cellStyle name="Normal 27 3" xfId="474" xr:uid="{00000000-0005-0000-0000-0000B0010000}"/>
    <cellStyle name="Normal 28" xfId="217" xr:uid="{00000000-0005-0000-0000-0000B1010000}"/>
    <cellStyle name="Normal 28 2" xfId="218" xr:uid="{00000000-0005-0000-0000-0000B2010000}"/>
    <cellStyle name="Normal 28 2 2" xfId="659" xr:uid="{00000000-0005-0000-0000-0000B3010000}"/>
    <cellStyle name="Normal 28 2 3" xfId="476" xr:uid="{00000000-0005-0000-0000-0000B4010000}"/>
    <cellStyle name="Normal 28 3" xfId="658" xr:uid="{00000000-0005-0000-0000-0000B5010000}"/>
    <cellStyle name="Normal 28 4" xfId="475" xr:uid="{00000000-0005-0000-0000-0000B6010000}"/>
    <cellStyle name="Normal 29" xfId="219" xr:uid="{00000000-0005-0000-0000-0000B7010000}"/>
    <cellStyle name="Normal 29 2" xfId="220" xr:uid="{00000000-0005-0000-0000-0000B8010000}"/>
    <cellStyle name="Normal 29 2 2" xfId="661" xr:uid="{00000000-0005-0000-0000-0000B9010000}"/>
    <cellStyle name="Normal 29 2 3" xfId="478" xr:uid="{00000000-0005-0000-0000-0000BA010000}"/>
    <cellStyle name="Normal 29 3" xfId="660" xr:uid="{00000000-0005-0000-0000-0000BB010000}"/>
    <cellStyle name="Normal 29 4" xfId="477" xr:uid="{00000000-0005-0000-0000-0000BC010000}"/>
    <cellStyle name="Normal 3" xfId="221" xr:uid="{00000000-0005-0000-0000-0000BD010000}"/>
    <cellStyle name="Normal 3 2" xfId="222" xr:uid="{00000000-0005-0000-0000-0000BE010000}"/>
    <cellStyle name="Normal 3 2 2" xfId="663" xr:uid="{00000000-0005-0000-0000-0000BF010000}"/>
    <cellStyle name="Normal 3 2 3" xfId="480" xr:uid="{00000000-0005-0000-0000-0000C0010000}"/>
    <cellStyle name="Normal 3 3" xfId="223" xr:uid="{00000000-0005-0000-0000-0000C1010000}"/>
    <cellStyle name="Normal 3 3 2" xfId="664" xr:uid="{00000000-0005-0000-0000-0000C2010000}"/>
    <cellStyle name="Normal 3 3 3" xfId="481" xr:uid="{00000000-0005-0000-0000-0000C3010000}"/>
    <cellStyle name="Normal 3 4" xfId="662" xr:uid="{00000000-0005-0000-0000-0000C4010000}"/>
    <cellStyle name="Normal 3 5" xfId="479" xr:uid="{00000000-0005-0000-0000-0000C5010000}"/>
    <cellStyle name="Normal 3_Attach O, GG, Support -New Method 2-14-11" xfId="224" xr:uid="{00000000-0005-0000-0000-0000C6010000}"/>
    <cellStyle name="Normal 30" xfId="225" xr:uid="{00000000-0005-0000-0000-0000C7010000}"/>
    <cellStyle name="Normal 30 2" xfId="737" xr:uid="{00000000-0005-0000-0000-0000C8010000}"/>
    <cellStyle name="Normal 30 3" xfId="747" xr:uid="{AEE5C6C4-F791-4705-8328-B34F4C61BE9D}"/>
    <cellStyle name="Normal 31" xfId="357" xr:uid="{00000000-0005-0000-0000-0000C9010000}"/>
    <cellStyle name="Normal 31 2" xfId="366" xr:uid="{00000000-0005-0000-0000-0000CA010000}"/>
    <cellStyle name="Normal 31 2 2" xfId="369" xr:uid="{00000000-0005-0000-0000-0000CB010000}"/>
    <cellStyle name="Normal 31 2 3" xfId="738" xr:uid="{00000000-0005-0000-0000-0000CC010000}"/>
    <cellStyle name="Normal 31 2 4" xfId="754" xr:uid="{B9B94824-33E0-4C87-9A63-6B356BC048DE}"/>
    <cellStyle name="Normal 31 3" xfId="741" xr:uid="{00000000-0005-0000-0000-0000CD010000}"/>
    <cellStyle name="Normal 31 4" xfId="739" xr:uid="{00000000-0005-0000-0000-0000CE010000}"/>
    <cellStyle name="Normal 31 5" xfId="752" xr:uid="{D10507A3-5D0E-4A3E-A0C5-5CD84CD89740}"/>
    <cellStyle name="Normal 32" xfId="359" xr:uid="{00000000-0005-0000-0000-0000CF010000}"/>
    <cellStyle name="Normal 33" xfId="362" xr:uid="{00000000-0005-0000-0000-0000D0010000}"/>
    <cellStyle name="Normal 33 2" xfId="368" xr:uid="{00000000-0005-0000-0000-0000D1010000}"/>
    <cellStyle name="Normal 34" xfId="742" xr:uid="{A267665A-B237-48AE-AFEE-4B2892C7FFE9}"/>
    <cellStyle name="Normal 4" xfId="226" xr:uid="{00000000-0005-0000-0000-0000D2010000}"/>
    <cellStyle name="Normal 4 10" xfId="227" xr:uid="{00000000-0005-0000-0000-0000D3010000}"/>
    <cellStyle name="Normal 4 10 2" xfId="665" xr:uid="{00000000-0005-0000-0000-0000D4010000}"/>
    <cellStyle name="Normal 4 2" xfId="228" xr:uid="{00000000-0005-0000-0000-0000D5010000}"/>
    <cellStyle name="Normal 4 2 2" xfId="666" xr:uid="{00000000-0005-0000-0000-0000D6010000}"/>
    <cellStyle name="Normal 4 2 3" xfId="482" xr:uid="{00000000-0005-0000-0000-0000D7010000}"/>
    <cellStyle name="Normal 4 3" xfId="229" xr:uid="{00000000-0005-0000-0000-0000D8010000}"/>
    <cellStyle name="Normal 4 3 2" xfId="230" xr:uid="{00000000-0005-0000-0000-0000D9010000}"/>
    <cellStyle name="Normal 4 3 2 2" xfId="668" xr:uid="{00000000-0005-0000-0000-0000DA010000}"/>
    <cellStyle name="Normal 4 3 2 3" xfId="484" xr:uid="{00000000-0005-0000-0000-0000DB010000}"/>
    <cellStyle name="Normal 4 3 3" xfId="231" xr:uid="{00000000-0005-0000-0000-0000DC010000}"/>
    <cellStyle name="Normal 4 3 3 2" xfId="669" xr:uid="{00000000-0005-0000-0000-0000DD010000}"/>
    <cellStyle name="Normal 4 3 3 3" xfId="485" xr:uid="{00000000-0005-0000-0000-0000DE010000}"/>
    <cellStyle name="Normal 4 3 4" xfId="667" xr:uid="{00000000-0005-0000-0000-0000DF010000}"/>
    <cellStyle name="Normal 4 3 5" xfId="483" xr:uid="{00000000-0005-0000-0000-0000E0010000}"/>
    <cellStyle name="Normal 4 4" xfId="232" xr:uid="{00000000-0005-0000-0000-0000E1010000}"/>
    <cellStyle name="Normal 4 4 2" xfId="233" xr:uid="{00000000-0005-0000-0000-0000E2010000}"/>
    <cellStyle name="Normal 4 4 2 2" xfId="671" xr:uid="{00000000-0005-0000-0000-0000E3010000}"/>
    <cellStyle name="Normal 4 4 2 3" xfId="487" xr:uid="{00000000-0005-0000-0000-0000E4010000}"/>
    <cellStyle name="Normal 4 4 3" xfId="234" xr:uid="{00000000-0005-0000-0000-0000E5010000}"/>
    <cellStyle name="Normal 4 4 3 2" xfId="672" xr:uid="{00000000-0005-0000-0000-0000E6010000}"/>
    <cellStyle name="Normal 4 4 3 3" xfId="488" xr:uid="{00000000-0005-0000-0000-0000E7010000}"/>
    <cellStyle name="Normal 4 4 4" xfId="670" xr:uid="{00000000-0005-0000-0000-0000E8010000}"/>
    <cellStyle name="Normal 4 4 5" xfId="486" xr:uid="{00000000-0005-0000-0000-0000E9010000}"/>
    <cellStyle name="Normal 4 5" xfId="235" xr:uid="{00000000-0005-0000-0000-0000EA010000}"/>
    <cellStyle name="Normal 4 5 2" xfId="673" xr:uid="{00000000-0005-0000-0000-0000EB010000}"/>
    <cellStyle name="Normal 4 5 3" xfId="489" xr:uid="{00000000-0005-0000-0000-0000EC010000}"/>
    <cellStyle name="Normal 4 6" xfId="236" xr:uid="{00000000-0005-0000-0000-0000ED010000}"/>
    <cellStyle name="Normal 4 6 2" xfId="237" xr:uid="{00000000-0005-0000-0000-0000EE010000}"/>
    <cellStyle name="Normal 4 6 2 2" xfId="675" xr:uid="{00000000-0005-0000-0000-0000EF010000}"/>
    <cellStyle name="Normal 4 6 2 3" xfId="491" xr:uid="{00000000-0005-0000-0000-0000F0010000}"/>
    <cellStyle name="Normal 4 6 3" xfId="674" xr:uid="{00000000-0005-0000-0000-0000F1010000}"/>
    <cellStyle name="Normal 4 6 4" xfId="490" xr:uid="{00000000-0005-0000-0000-0000F2010000}"/>
    <cellStyle name="Normal 4 7" xfId="238" xr:uid="{00000000-0005-0000-0000-0000F3010000}"/>
    <cellStyle name="Normal 4 7 2" xfId="239" xr:uid="{00000000-0005-0000-0000-0000F4010000}"/>
    <cellStyle name="Normal 4 7 2 2" xfId="677" xr:uid="{00000000-0005-0000-0000-0000F5010000}"/>
    <cellStyle name="Normal 4 7 2 3" xfId="493" xr:uid="{00000000-0005-0000-0000-0000F6010000}"/>
    <cellStyle name="Normal 4 7 3" xfId="676" xr:uid="{00000000-0005-0000-0000-0000F7010000}"/>
    <cellStyle name="Normal 4 7 4" xfId="492" xr:uid="{00000000-0005-0000-0000-0000F8010000}"/>
    <cellStyle name="Normal 4 8" xfId="240" xr:uid="{00000000-0005-0000-0000-0000F9010000}"/>
    <cellStyle name="Normal 4 8 2" xfId="678" xr:uid="{00000000-0005-0000-0000-0000FA010000}"/>
    <cellStyle name="Normal 4 8 3" xfId="494" xr:uid="{00000000-0005-0000-0000-0000FB010000}"/>
    <cellStyle name="Normal 4 9" xfId="241" xr:uid="{00000000-0005-0000-0000-0000FC010000}"/>
    <cellStyle name="Normal 4 9 2" xfId="679" xr:uid="{00000000-0005-0000-0000-0000FD010000}"/>
    <cellStyle name="Normal 4_PBOP Exhibit 1" xfId="242" xr:uid="{00000000-0005-0000-0000-0000FE010000}"/>
    <cellStyle name="Normal 5" xfId="243" xr:uid="{00000000-0005-0000-0000-0000FF010000}"/>
    <cellStyle name="Normal 5 2" xfId="244" xr:uid="{00000000-0005-0000-0000-000000020000}"/>
    <cellStyle name="Normal 5 2 2" xfId="245" xr:uid="{00000000-0005-0000-0000-000001020000}"/>
    <cellStyle name="Normal 5 2 2 2" xfId="682" xr:uid="{00000000-0005-0000-0000-000002020000}"/>
    <cellStyle name="Normal 5 2 2 3" xfId="497" xr:uid="{00000000-0005-0000-0000-000003020000}"/>
    <cellStyle name="Normal 5 2 3" xfId="681" xr:uid="{00000000-0005-0000-0000-000004020000}"/>
    <cellStyle name="Normal 5 2 4" xfId="496" xr:uid="{00000000-0005-0000-0000-000005020000}"/>
    <cellStyle name="Normal 5 3" xfId="246" xr:uid="{00000000-0005-0000-0000-000006020000}"/>
    <cellStyle name="Normal 5 3 2" xfId="683" xr:uid="{00000000-0005-0000-0000-000007020000}"/>
    <cellStyle name="Normal 5 3 3" xfId="498" xr:uid="{00000000-0005-0000-0000-000008020000}"/>
    <cellStyle name="Normal 5 4" xfId="247" xr:uid="{00000000-0005-0000-0000-000009020000}"/>
    <cellStyle name="Normal 5 4 2" xfId="684" xr:uid="{00000000-0005-0000-0000-00000A020000}"/>
    <cellStyle name="Normal 5 4 3" xfId="499" xr:uid="{00000000-0005-0000-0000-00000B020000}"/>
    <cellStyle name="Normal 5 5" xfId="680" xr:uid="{00000000-0005-0000-0000-00000C020000}"/>
    <cellStyle name="Normal 5 6" xfId="495" xr:uid="{00000000-0005-0000-0000-00000D020000}"/>
    <cellStyle name="Normal 6" xfId="248" xr:uid="{00000000-0005-0000-0000-00000E020000}"/>
    <cellStyle name="Normal 6 2" xfId="249" xr:uid="{00000000-0005-0000-0000-00000F020000}"/>
    <cellStyle name="Normal 6 2 2" xfId="250" xr:uid="{00000000-0005-0000-0000-000010020000}"/>
    <cellStyle name="Normal 6 2 2 2" xfId="687" xr:uid="{00000000-0005-0000-0000-000011020000}"/>
    <cellStyle name="Normal 6 2 2 3" xfId="502" xr:uid="{00000000-0005-0000-0000-000012020000}"/>
    <cellStyle name="Normal 6 2 3" xfId="251" xr:uid="{00000000-0005-0000-0000-000013020000}"/>
    <cellStyle name="Normal 6 2 3 2" xfId="688" xr:uid="{00000000-0005-0000-0000-000014020000}"/>
    <cellStyle name="Normal 6 2 3 3" xfId="503" xr:uid="{00000000-0005-0000-0000-000015020000}"/>
    <cellStyle name="Normal 6 2 4" xfId="686" xr:uid="{00000000-0005-0000-0000-000016020000}"/>
    <cellStyle name="Normal 6 2 5" xfId="501" xr:uid="{00000000-0005-0000-0000-000017020000}"/>
    <cellStyle name="Normal 6 3" xfId="252" xr:uid="{00000000-0005-0000-0000-000018020000}"/>
    <cellStyle name="Normal 6 3 2" xfId="253" xr:uid="{00000000-0005-0000-0000-000019020000}"/>
    <cellStyle name="Normal 6 3 2 2" xfId="690" xr:uid="{00000000-0005-0000-0000-00001A020000}"/>
    <cellStyle name="Normal 6 3 2 3" xfId="505" xr:uid="{00000000-0005-0000-0000-00001B020000}"/>
    <cellStyle name="Normal 6 3 3" xfId="689" xr:uid="{00000000-0005-0000-0000-00001C020000}"/>
    <cellStyle name="Normal 6 3 4" xfId="504" xr:uid="{00000000-0005-0000-0000-00001D020000}"/>
    <cellStyle name="Normal 6 4" xfId="254" xr:uid="{00000000-0005-0000-0000-00001E020000}"/>
    <cellStyle name="Normal 6 4 2" xfId="255" xr:uid="{00000000-0005-0000-0000-00001F020000}"/>
    <cellStyle name="Normal 6 4 2 2" xfId="692" xr:uid="{00000000-0005-0000-0000-000020020000}"/>
    <cellStyle name="Normal 6 4 2 3" xfId="507" xr:uid="{00000000-0005-0000-0000-000021020000}"/>
    <cellStyle name="Normal 6 4 3" xfId="691" xr:uid="{00000000-0005-0000-0000-000022020000}"/>
    <cellStyle name="Normal 6 4 4" xfId="506" xr:uid="{00000000-0005-0000-0000-000023020000}"/>
    <cellStyle name="Normal 6 5" xfId="685" xr:uid="{00000000-0005-0000-0000-000024020000}"/>
    <cellStyle name="Normal 6 6" xfId="500" xr:uid="{00000000-0005-0000-0000-000025020000}"/>
    <cellStyle name="Normal 6 7" xfId="748" xr:uid="{DC3EBF14-FFA0-46C0-A47C-7C5D56BF6F92}"/>
    <cellStyle name="Normal 7" xfId="256" xr:uid="{00000000-0005-0000-0000-000026020000}"/>
    <cellStyle name="Normal 7 2" xfId="257" xr:uid="{00000000-0005-0000-0000-000027020000}"/>
    <cellStyle name="Normal 7 2 2" xfId="694" xr:uid="{00000000-0005-0000-0000-000028020000}"/>
    <cellStyle name="Normal 7 2 3" xfId="509" xr:uid="{00000000-0005-0000-0000-000029020000}"/>
    <cellStyle name="Normal 7 3" xfId="693" xr:uid="{00000000-0005-0000-0000-00002A020000}"/>
    <cellStyle name="Normal 7 4" xfId="508" xr:uid="{00000000-0005-0000-0000-00002B020000}"/>
    <cellStyle name="Normal 7 5" xfId="749" xr:uid="{3BAC29E8-CAC0-45FB-8726-627A11DF2A5A}"/>
    <cellStyle name="Normal 8" xfId="258" xr:uid="{00000000-0005-0000-0000-00002C020000}"/>
    <cellStyle name="Normal 8 2" xfId="259" xr:uid="{00000000-0005-0000-0000-00002D020000}"/>
    <cellStyle name="Normal 8 2 2" xfId="696" xr:uid="{00000000-0005-0000-0000-00002E020000}"/>
    <cellStyle name="Normal 8 2 3" xfId="511" xr:uid="{00000000-0005-0000-0000-00002F020000}"/>
    <cellStyle name="Normal 8 3" xfId="695" xr:uid="{00000000-0005-0000-0000-000030020000}"/>
    <cellStyle name="Normal 8 4" xfId="510" xr:uid="{00000000-0005-0000-0000-000031020000}"/>
    <cellStyle name="Normal 8 5" xfId="750" xr:uid="{7DD78F7E-C869-4F5D-84E5-DA5F96C8933C}"/>
    <cellStyle name="Normal 9" xfId="260" xr:uid="{00000000-0005-0000-0000-000032020000}"/>
    <cellStyle name="Normal 9 2" xfId="261" xr:uid="{00000000-0005-0000-0000-000033020000}"/>
    <cellStyle name="Normal 9 2 2" xfId="698" xr:uid="{00000000-0005-0000-0000-000034020000}"/>
    <cellStyle name="Normal 9 2 3" xfId="513" xr:uid="{00000000-0005-0000-0000-000035020000}"/>
    <cellStyle name="Normal 9 3" xfId="697" xr:uid="{00000000-0005-0000-0000-000036020000}"/>
    <cellStyle name="Normal 9 4" xfId="512" xr:uid="{00000000-0005-0000-0000-000037020000}"/>
    <cellStyle name="Normal 9 5" xfId="751" xr:uid="{1AFFB241-F240-4E0E-AE85-829D13C54CA3}"/>
    <cellStyle name="Normal_21 Exh B" xfId="262" xr:uid="{00000000-0005-0000-0000-000038020000}"/>
    <cellStyle name="Normal_ADITAnalysisID090805" xfId="263" xr:uid="{00000000-0005-0000-0000-000039020000}"/>
    <cellStyle name="Normal_ADITAnalysisID090805 2" xfId="264" xr:uid="{00000000-0005-0000-0000-00003A020000}"/>
    <cellStyle name="Normal_ADITAnalysisID090805 2 2" xfId="265" xr:uid="{00000000-0005-0000-0000-00003B020000}"/>
    <cellStyle name="Normal_ADITAnalysisID090805 2 2 2" xfId="266" xr:uid="{00000000-0005-0000-0000-00003C020000}"/>
    <cellStyle name="Normal_ADITAnalysisID090805 3" xfId="267" xr:uid="{00000000-0005-0000-0000-00003D020000}"/>
    <cellStyle name="Normal_ADITAnalysisID090805 4 2" xfId="356" xr:uid="{00000000-0005-0000-0000-00003E020000}"/>
    <cellStyle name="Normal_ATC Projected 2008 Monthly Plant Balances for Attachment O 2 (2)" xfId="268" xr:uid="{00000000-0005-0000-0000-00003F020000}"/>
    <cellStyle name="Normal_AU Period 2 Rev 4-27-00" xfId="269" xr:uid="{00000000-0005-0000-0000-000040020000}"/>
    <cellStyle name="Normal_DeprRateAuth East Dave Davis" xfId="270" xr:uid="{00000000-0005-0000-0000-000041020000}"/>
    <cellStyle name="Normal_DeprRateAuth East Dave Davis 2" xfId="271" xr:uid="{00000000-0005-0000-0000-000042020000}"/>
    <cellStyle name="Normal_FN1 Ratebase Draft SPP template (6-11-04) v2" xfId="272" xr:uid="{00000000-0005-0000-0000-000043020000}"/>
    <cellStyle name="Normal_I&amp;M-AK-1" xfId="273" xr:uid="{00000000-0005-0000-0000-000044020000}"/>
    <cellStyle name="Normal_Revised 1-21-10  Deprec Summary" xfId="274" xr:uid="{00000000-0005-0000-0000-000045020000}"/>
    <cellStyle name="Normal_Schedule O Info for Mike" xfId="275" xr:uid="{00000000-0005-0000-0000-000046020000}"/>
    <cellStyle name="Normal_spp calc - revsd rev crd" xfId="276" xr:uid="{00000000-0005-0000-0000-000047020000}"/>
    <cellStyle name="Note" xfId="277" builtinId="10" customBuiltin="1"/>
    <cellStyle name="Note 2" xfId="278" xr:uid="{00000000-0005-0000-0000-000049020000}"/>
    <cellStyle name="Note 2 2" xfId="515" xr:uid="{00000000-0005-0000-0000-00004A020000}"/>
    <cellStyle name="Note 3" xfId="514" xr:uid="{00000000-0005-0000-0000-00004B020000}"/>
    <cellStyle name="Output" xfId="279" builtinId="21" customBuiltin="1"/>
    <cellStyle name="Output 2" xfId="280" xr:uid="{00000000-0005-0000-0000-00004D020000}"/>
    <cellStyle name="Output 2 2" xfId="517" xr:uid="{00000000-0005-0000-0000-00004E020000}"/>
    <cellStyle name="Output 3" xfId="516" xr:uid="{00000000-0005-0000-0000-00004F020000}"/>
    <cellStyle name="Percent" xfId="281" builtinId="5"/>
    <cellStyle name="Percent 10" xfId="282" xr:uid="{00000000-0005-0000-0000-000051020000}"/>
    <cellStyle name="Percent 10 2" xfId="699" xr:uid="{00000000-0005-0000-0000-000052020000}"/>
    <cellStyle name="Percent 11" xfId="358" xr:uid="{00000000-0005-0000-0000-000053020000}"/>
    <cellStyle name="Percent 12" xfId="371" xr:uid="{00000000-0005-0000-0000-000054020000}"/>
    <cellStyle name="Percent 13" xfId="744" xr:uid="{21F8F7E1-C512-48BE-9D86-818349DDAB9C}"/>
    <cellStyle name="Percent 2" xfId="283" xr:uid="{00000000-0005-0000-0000-000055020000}"/>
    <cellStyle name="Percent 2 2" xfId="284" xr:uid="{00000000-0005-0000-0000-000056020000}"/>
    <cellStyle name="Percent 2 2 2" xfId="701" xr:uid="{00000000-0005-0000-0000-000057020000}"/>
    <cellStyle name="Percent 2 2 3" xfId="519" xr:uid="{00000000-0005-0000-0000-000058020000}"/>
    <cellStyle name="Percent 2 3" xfId="700" xr:uid="{00000000-0005-0000-0000-000059020000}"/>
    <cellStyle name="Percent 2 4" xfId="518" xr:uid="{00000000-0005-0000-0000-00005A020000}"/>
    <cellStyle name="Percent 3" xfId="285" xr:uid="{00000000-0005-0000-0000-00005B020000}"/>
    <cellStyle name="Percent 3 2" xfId="286" xr:uid="{00000000-0005-0000-0000-00005C020000}"/>
    <cellStyle name="Percent 3 2 2" xfId="703" xr:uid="{00000000-0005-0000-0000-00005D020000}"/>
    <cellStyle name="Percent 3 2 3" xfId="520" xr:uid="{00000000-0005-0000-0000-00005E020000}"/>
    <cellStyle name="Percent 3 3" xfId="287" xr:uid="{00000000-0005-0000-0000-00005F020000}"/>
    <cellStyle name="Percent 3 3 2" xfId="288" xr:uid="{00000000-0005-0000-0000-000060020000}"/>
    <cellStyle name="Percent 3 3 2 2" xfId="705" xr:uid="{00000000-0005-0000-0000-000061020000}"/>
    <cellStyle name="Percent 3 3 2 3" xfId="522" xr:uid="{00000000-0005-0000-0000-000062020000}"/>
    <cellStyle name="Percent 3 3 3" xfId="289" xr:uid="{00000000-0005-0000-0000-000063020000}"/>
    <cellStyle name="Percent 3 3 3 2" xfId="706" xr:uid="{00000000-0005-0000-0000-000064020000}"/>
    <cellStyle name="Percent 3 3 3 3" xfId="523" xr:uid="{00000000-0005-0000-0000-000065020000}"/>
    <cellStyle name="Percent 3 3 4" xfId="704" xr:uid="{00000000-0005-0000-0000-000066020000}"/>
    <cellStyle name="Percent 3 3 5" xfId="521" xr:uid="{00000000-0005-0000-0000-000067020000}"/>
    <cellStyle name="Percent 3 4" xfId="290" xr:uid="{00000000-0005-0000-0000-000068020000}"/>
    <cellStyle name="Percent 3 4 2" xfId="291" xr:uid="{00000000-0005-0000-0000-000069020000}"/>
    <cellStyle name="Percent 3 4 2 2" xfId="708" xr:uid="{00000000-0005-0000-0000-00006A020000}"/>
    <cellStyle name="Percent 3 4 2 3" xfId="525" xr:uid="{00000000-0005-0000-0000-00006B020000}"/>
    <cellStyle name="Percent 3 4 3" xfId="292" xr:uid="{00000000-0005-0000-0000-00006C020000}"/>
    <cellStyle name="Percent 3 4 3 2" xfId="709" xr:uid="{00000000-0005-0000-0000-00006D020000}"/>
    <cellStyle name="Percent 3 4 3 3" xfId="526" xr:uid="{00000000-0005-0000-0000-00006E020000}"/>
    <cellStyle name="Percent 3 4 4" xfId="707" xr:uid="{00000000-0005-0000-0000-00006F020000}"/>
    <cellStyle name="Percent 3 4 5" xfId="524" xr:uid="{00000000-0005-0000-0000-000070020000}"/>
    <cellStyle name="Percent 3 5" xfId="293" xr:uid="{00000000-0005-0000-0000-000071020000}"/>
    <cellStyle name="Percent 3 5 2" xfId="710" xr:uid="{00000000-0005-0000-0000-000072020000}"/>
    <cellStyle name="Percent 3 5 3" xfId="527" xr:uid="{00000000-0005-0000-0000-000073020000}"/>
    <cellStyle name="Percent 3 6" xfId="294" xr:uid="{00000000-0005-0000-0000-000074020000}"/>
    <cellStyle name="Percent 3 6 2" xfId="295" xr:uid="{00000000-0005-0000-0000-000075020000}"/>
    <cellStyle name="Percent 3 6 2 2" xfId="712" xr:uid="{00000000-0005-0000-0000-000076020000}"/>
    <cellStyle name="Percent 3 6 2 3" xfId="529" xr:uid="{00000000-0005-0000-0000-000077020000}"/>
    <cellStyle name="Percent 3 6 3" xfId="711" xr:uid="{00000000-0005-0000-0000-000078020000}"/>
    <cellStyle name="Percent 3 6 4" xfId="528" xr:uid="{00000000-0005-0000-0000-000079020000}"/>
    <cellStyle name="Percent 3 7" xfId="296" xr:uid="{00000000-0005-0000-0000-00007A020000}"/>
    <cellStyle name="Percent 3 7 2" xfId="713" xr:uid="{00000000-0005-0000-0000-00007B020000}"/>
    <cellStyle name="Percent 3 7 3" xfId="530" xr:uid="{00000000-0005-0000-0000-00007C020000}"/>
    <cellStyle name="Percent 3 8" xfId="297" xr:uid="{00000000-0005-0000-0000-00007D020000}"/>
    <cellStyle name="Percent 3 8 2" xfId="714" xr:uid="{00000000-0005-0000-0000-00007E020000}"/>
    <cellStyle name="Percent 3 9" xfId="298" xr:uid="{00000000-0005-0000-0000-00007F020000}"/>
    <cellStyle name="Percent 3 9 2" xfId="702" xr:uid="{00000000-0005-0000-0000-000080020000}"/>
    <cellStyle name="Percent 4" xfId="299" xr:uid="{00000000-0005-0000-0000-000081020000}"/>
    <cellStyle name="Percent 4 2" xfId="300" xr:uid="{00000000-0005-0000-0000-000082020000}"/>
    <cellStyle name="Percent 4 2 2" xfId="716" xr:uid="{00000000-0005-0000-0000-000083020000}"/>
    <cellStyle name="Percent 4 2 3" xfId="532" xr:uid="{00000000-0005-0000-0000-000084020000}"/>
    <cellStyle name="Percent 4 3" xfId="301" xr:uid="{00000000-0005-0000-0000-000085020000}"/>
    <cellStyle name="Percent 4 3 2" xfId="717" xr:uid="{00000000-0005-0000-0000-000086020000}"/>
    <cellStyle name="Percent 4 3 3" xfId="533" xr:uid="{00000000-0005-0000-0000-000087020000}"/>
    <cellStyle name="Percent 4 4" xfId="715" xr:uid="{00000000-0005-0000-0000-000088020000}"/>
    <cellStyle name="Percent 4 5" xfId="531" xr:uid="{00000000-0005-0000-0000-000089020000}"/>
    <cellStyle name="Percent 5" xfId="302" xr:uid="{00000000-0005-0000-0000-00008A020000}"/>
    <cellStyle name="Percent 5 2" xfId="303" xr:uid="{00000000-0005-0000-0000-00008B020000}"/>
    <cellStyle name="Percent 5 2 2" xfId="719" xr:uid="{00000000-0005-0000-0000-00008C020000}"/>
    <cellStyle name="Percent 5 2 3" xfId="535" xr:uid="{00000000-0005-0000-0000-00008D020000}"/>
    <cellStyle name="Percent 5 3" xfId="718" xr:uid="{00000000-0005-0000-0000-00008E020000}"/>
    <cellStyle name="Percent 5 4" xfId="534" xr:uid="{00000000-0005-0000-0000-00008F020000}"/>
    <cellStyle name="Percent 6" xfId="304" xr:uid="{00000000-0005-0000-0000-000090020000}"/>
    <cellStyle name="Percent 6 2" xfId="720" xr:uid="{00000000-0005-0000-0000-000091020000}"/>
    <cellStyle name="Percent 6 3" xfId="536" xr:uid="{00000000-0005-0000-0000-000092020000}"/>
    <cellStyle name="Percent 7" xfId="305" xr:uid="{00000000-0005-0000-0000-000093020000}"/>
    <cellStyle name="Percent 7 2" xfId="306" xr:uid="{00000000-0005-0000-0000-000094020000}"/>
    <cellStyle name="Percent 7 2 2" xfId="722" xr:uid="{00000000-0005-0000-0000-000095020000}"/>
    <cellStyle name="Percent 7 2 3" xfId="538" xr:uid="{00000000-0005-0000-0000-000096020000}"/>
    <cellStyle name="Percent 7 3" xfId="307" xr:uid="{00000000-0005-0000-0000-000097020000}"/>
    <cellStyle name="Percent 7 3 2" xfId="723" xr:uid="{00000000-0005-0000-0000-000098020000}"/>
    <cellStyle name="Percent 7 3 3" xfId="539" xr:uid="{00000000-0005-0000-0000-000099020000}"/>
    <cellStyle name="Percent 7 4" xfId="308" xr:uid="{00000000-0005-0000-0000-00009A020000}"/>
    <cellStyle name="Percent 7 4 2" xfId="721" xr:uid="{00000000-0005-0000-0000-00009B020000}"/>
    <cellStyle name="Percent 7 5" xfId="537" xr:uid="{00000000-0005-0000-0000-00009C020000}"/>
    <cellStyle name="Percent 8" xfId="309" xr:uid="{00000000-0005-0000-0000-00009D020000}"/>
    <cellStyle name="Percent 8 2" xfId="724" xr:uid="{00000000-0005-0000-0000-00009E020000}"/>
    <cellStyle name="Percent 8 3" xfId="540" xr:uid="{00000000-0005-0000-0000-00009F020000}"/>
    <cellStyle name="Percent 9" xfId="310" xr:uid="{00000000-0005-0000-0000-0000A0020000}"/>
    <cellStyle name="Percent 9 2" xfId="725" xr:uid="{00000000-0005-0000-0000-0000A1020000}"/>
    <cellStyle name="PSChar" xfId="311" xr:uid="{00000000-0005-0000-0000-0000A2020000}"/>
    <cellStyle name="PSDate" xfId="312" xr:uid="{00000000-0005-0000-0000-0000A3020000}"/>
    <cellStyle name="PSDec" xfId="313" xr:uid="{00000000-0005-0000-0000-0000A4020000}"/>
    <cellStyle name="PSdesc" xfId="314" xr:uid="{00000000-0005-0000-0000-0000A5020000}"/>
    <cellStyle name="PSdesc 2" xfId="726" xr:uid="{00000000-0005-0000-0000-0000A6020000}"/>
    <cellStyle name="PSdesc 3" xfId="541" xr:uid="{00000000-0005-0000-0000-0000A7020000}"/>
    <cellStyle name="PSHeading" xfId="315" xr:uid="{00000000-0005-0000-0000-0000A8020000}"/>
    <cellStyle name="PSInt" xfId="316" xr:uid="{00000000-0005-0000-0000-0000A9020000}"/>
    <cellStyle name="PSSpacer" xfId="317" xr:uid="{00000000-0005-0000-0000-0000AA020000}"/>
    <cellStyle name="PStest" xfId="318" xr:uid="{00000000-0005-0000-0000-0000AB020000}"/>
    <cellStyle name="PStest 2" xfId="727" xr:uid="{00000000-0005-0000-0000-0000AC020000}"/>
    <cellStyle name="PStest 3" xfId="542" xr:uid="{00000000-0005-0000-0000-0000AD020000}"/>
    <cellStyle name="R00A" xfId="319" xr:uid="{00000000-0005-0000-0000-0000AE020000}"/>
    <cellStyle name="R00B" xfId="320" xr:uid="{00000000-0005-0000-0000-0000AF020000}"/>
    <cellStyle name="R00L" xfId="321" xr:uid="{00000000-0005-0000-0000-0000B0020000}"/>
    <cellStyle name="R01A" xfId="322" xr:uid="{00000000-0005-0000-0000-0000B1020000}"/>
    <cellStyle name="R01B" xfId="323" xr:uid="{00000000-0005-0000-0000-0000B2020000}"/>
    <cellStyle name="R01B 2" xfId="543" xr:uid="{00000000-0005-0000-0000-0000B3020000}"/>
    <cellStyle name="R01H" xfId="324" xr:uid="{00000000-0005-0000-0000-0000B4020000}"/>
    <cellStyle name="R01L" xfId="325" xr:uid="{00000000-0005-0000-0000-0000B5020000}"/>
    <cellStyle name="R02A" xfId="326" xr:uid="{00000000-0005-0000-0000-0000B6020000}"/>
    <cellStyle name="R02B" xfId="327" xr:uid="{00000000-0005-0000-0000-0000B7020000}"/>
    <cellStyle name="R02B 2" xfId="728" xr:uid="{00000000-0005-0000-0000-0000B8020000}"/>
    <cellStyle name="R02B 3" xfId="544" xr:uid="{00000000-0005-0000-0000-0000B9020000}"/>
    <cellStyle name="R02H" xfId="328" xr:uid="{00000000-0005-0000-0000-0000BA020000}"/>
    <cellStyle name="R02L" xfId="329" xr:uid="{00000000-0005-0000-0000-0000BB020000}"/>
    <cellStyle name="R03A" xfId="330" xr:uid="{00000000-0005-0000-0000-0000BC020000}"/>
    <cellStyle name="R03B" xfId="331" xr:uid="{00000000-0005-0000-0000-0000BD020000}"/>
    <cellStyle name="R03B 2" xfId="729" xr:uid="{00000000-0005-0000-0000-0000BE020000}"/>
    <cellStyle name="R03B 3" xfId="545" xr:uid="{00000000-0005-0000-0000-0000BF020000}"/>
    <cellStyle name="R03H" xfId="332" xr:uid="{00000000-0005-0000-0000-0000C0020000}"/>
    <cellStyle name="R03L" xfId="333" xr:uid="{00000000-0005-0000-0000-0000C1020000}"/>
    <cellStyle name="R04A" xfId="334" xr:uid="{00000000-0005-0000-0000-0000C2020000}"/>
    <cellStyle name="R04B" xfId="335" xr:uid="{00000000-0005-0000-0000-0000C3020000}"/>
    <cellStyle name="R04B 2" xfId="730" xr:uid="{00000000-0005-0000-0000-0000C4020000}"/>
    <cellStyle name="R04B 3" xfId="546" xr:uid="{00000000-0005-0000-0000-0000C5020000}"/>
    <cellStyle name="R04H" xfId="336" xr:uid="{00000000-0005-0000-0000-0000C6020000}"/>
    <cellStyle name="R04L" xfId="337" xr:uid="{00000000-0005-0000-0000-0000C7020000}"/>
    <cellStyle name="R05A" xfId="338" xr:uid="{00000000-0005-0000-0000-0000C8020000}"/>
    <cellStyle name="R05B" xfId="339" xr:uid="{00000000-0005-0000-0000-0000C9020000}"/>
    <cellStyle name="R05B 2" xfId="731" xr:uid="{00000000-0005-0000-0000-0000CA020000}"/>
    <cellStyle name="R05B 3" xfId="547" xr:uid="{00000000-0005-0000-0000-0000CB020000}"/>
    <cellStyle name="R05H" xfId="340" xr:uid="{00000000-0005-0000-0000-0000CC020000}"/>
    <cellStyle name="R05L" xfId="341" xr:uid="{00000000-0005-0000-0000-0000CD020000}"/>
    <cellStyle name="R05L 2" xfId="732" xr:uid="{00000000-0005-0000-0000-0000CE020000}"/>
    <cellStyle name="R05L 3" xfId="548" xr:uid="{00000000-0005-0000-0000-0000CF020000}"/>
    <cellStyle name="R06A" xfId="342" xr:uid="{00000000-0005-0000-0000-0000D0020000}"/>
    <cellStyle name="R06B" xfId="343" xr:uid="{00000000-0005-0000-0000-0000D1020000}"/>
    <cellStyle name="R06B 2" xfId="733" xr:uid="{00000000-0005-0000-0000-0000D2020000}"/>
    <cellStyle name="R06B 3" xfId="549" xr:uid="{00000000-0005-0000-0000-0000D3020000}"/>
    <cellStyle name="R06H" xfId="344" xr:uid="{00000000-0005-0000-0000-0000D4020000}"/>
    <cellStyle name="R06L" xfId="345" xr:uid="{00000000-0005-0000-0000-0000D5020000}"/>
    <cellStyle name="R07A" xfId="346" xr:uid="{00000000-0005-0000-0000-0000D6020000}"/>
    <cellStyle name="R07B" xfId="347" xr:uid="{00000000-0005-0000-0000-0000D7020000}"/>
    <cellStyle name="R07B 2" xfId="734" xr:uid="{00000000-0005-0000-0000-0000D8020000}"/>
    <cellStyle name="R07B 3" xfId="550" xr:uid="{00000000-0005-0000-0000-0000D9020000}"/>
    <cellStyle name="R07H" xfId="348" xr:uid="{00000000-0005-0000-0000-0000DA020000}"/>
    <cellStyle name="R07L" xfId="349" xr:uid="{00000000-0005-0000-0000-0000DB020000}"/>
    <cellStyle name="Title" xfId="350" builtinId="15" customBuiltin="1"/>
    <cellStyle name="Title 2" xfId="351" xr:uid="{00000000-0005-0000-0000-0000DD020000}"/>
    <cellStyle name="Total" xfId="352" builtinId="25" customBuiltin="1"/>
    <cellStyle name="Total 2" xfId="353" xr:uid="{00000000-0005-0000-0000-0000DF020000}"/>
    <cellStyle name="Total 2 2" xfId="736" xr:uid="{00000000-0005-0000-0000-0000E0020000}"/>
    <cellStyle name="Total 2 3" xfId="552" xr:uid="{00000000-0005-0000-0000-0000E1020000}"/>
    <cellStyle name="Total 3" xfId="735" xr:uid="{00000000-0005-0000-0000-0000E2020000}"/>
    <cellStyle name="Total 4" xfId="551" xr:uid="{00000000-0005-0000-0000-0000E3020000}"/>
    <cellStyle name="Warning Text" xfId="354" builtinId="11" customBuiltin="1"/>
    <cellStyle name="Warning Text 2" xfId="355" xr:uid="{00000000-0005-0000-0000-0000E5020000}"/>
  </cellStyles>
  <dxfs count="41">
    <dxf>
      <font>
        <condense val="0"/>
        <extend val="0"/>
        <color auto="1"/>
      </font>
      <fill>
        <patternFill>
          <bgColor indexed="35"/>
        </patternFill>
      </fill>
    </dxf>
    <dxf>
      <font>
        <condense val="0"/>
        <extend val="0"/>
        <color auto="1"/>
      </font>
      <fill>
        <patternFill>
          <bgColor indexed="35"/>
        </patternFill>
      </fill>
    </dxf>
    <dxf>
      <font>
        <condense val="0"/>
        <extend val="0"/>
        <color auto="1"/>
      </font>
      <fill>
        <patternFill>
          <bgColor indexed="35"/>
        </patternFill>
      </fill>
    </dxf>
    <dxf>
      <font>
        <condense val="0"/>
        <extend val="0"/>
        <color auto="1"/>
      </font>
      <fill>
        <patternFill>
          <bgColor indexed="35"/>
        </patternFill>
      </fill>
    </dxf>
    <dxf>
      <font>
        <condense val="0"/>
        <extend val="0"/>
        <color auto="1"/>
      </font>
      <fill>
        <patternFill>
          <bgColor indexed="35"/>
        </patternFill>
      </fill>
    </dxf>
    <dxf>
      <font>
        <condense val="0"/>
        <extend val="0"/>
        <color auto="1"/>
      </font>
      <fill>
        <patternFill>
          <bgColor indexed="35"/>
        </patternFill>
      </fill>
    </dxf>
    <dxf>
      <font>
        <condense val="0"/>
        <extend val="0"/>
        <color auto="1"/>
      </font>
      <fill>
        <patternFill>
          <bgColor indexed="35"/>
        </patternFill>
      </fill>
    </dxf>
    <dxf>
      <font>
        <condense val="0"/>
        <extend val="0"/>
        <color auto="1"/>
      </font>
      <fill>
        <patternFill>
          <bgColor indexed="35"/>
        </patternFill>
      </fill>
    </dxf>
    <dxf>
      <font>
        <condense val="0"/>
        <extend val="0"/>
        <color auto="1"/>
      </font>
      <fill>
        <patternFill>
          <bgColor indexed="35"/>
        </patternFill>
      </fill>
    </dxf>
    <dxf>
      <font>
        <condense val="0"/>
        <extend val="0"/>
        <color auto="1"/>
      </font>
      <fill>
        <patternFill>
          <bgColor indexed="35"/>
        </patternFill>
      </fill>
    </dxf>
    <dxf>
      <font>
        <condense val="0"/>
        <extend val="0"/>
        <color auto="1"/>
      </font>
      <fill>
        <patternFill>
          <bgColor indexed="35"/>
        </patternFill>
      </fill>
    </dxf>
    <dxf>
      <font>
        <condense val="0"/>
        <extend val="0"/>
        <color auto="1"/>
      </font>
      <fill>
        <patternFill>
          <bgColor indexed="35"/>
        </patternFill>
      </fill>
    </dxf>
    <dxf>
      <font>
        <condense val="0"/>
        <extend val="0"/>
        <color auto="1"/>
      </font>
      <fill>
        <patternFill>
          <bgColor indexed="35"/>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K21" dT="2023-03-07T17:57:37.40" personId="{00000000-0000-0000-0000-000000000000}" id="{6B9E788D-05DA-44C0-8A9C-EAEFA7F7F5D7}">
    <text>only accounts with other electric revenues in description</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1.bin"/><Relationship Id="rId4" Type="http://schemas.microsoft.com/office/2017/10/relationships/threadedComment" Target="../threadedComments/threadedComment1.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T392"/>
  <sheetViews>
    <sheetView tabSelected="1" view="pageBreakPreview" zoomScale="55" zoomScaleNormal="85" zoomScaleSheetLayoutView="55" zoomScalePageLayoutView="50" workbookViewId="0">
      <selection activeCell="F7" sqref="F7"/>
    </sheetView>
  </sheetViews>
  <sheetFormatPr defaultColWidth="11.42578125" defaultRowHeight="15"/>
  <cols>
    <col min="1" max="1" width="4.5703125" style="246" customWidth="1"/>
    <col min="2" max="2" width="7.85546875" style="245" customWidth="1"/>
    <col min="3" max="3" width="1.85546875" style="246" customWidth="1"/>
    <col min="4" max="4" width="70.140625" style="246" customWidth="1"/>
    <col min="5" max="5" width="25.5703125" style="246" customWidth="1"/>
    <col min="6" max="6" width="22.42578125" style="246" customWidth="1"/>
    <col min="7" max="7" width="24.140625" style="246" customWidth="1"/>
    <col min="8" max="8" width="16.140625" style="246" customWidth="1"/>
    <col min="9" max="9" width="11.42578125" style="246" customWidth="1"/>
    <col min="10" max="10" width="21.5703125" style="246" bestFit="1" customWidth="1"/>
    <col min="11" max="11" width="4.5703125" style="246" customWidth="1"/>
    <col min="12" max="12" width="23" style="246" customWidth="1"/>
    <col min="13" max="13" width="5" style="246" customWidth="1"/>
    <col min="14" max="14" width="8.140625" style="246" customWidth="1"/>
    <col min="15" max="15" width="21.85546875" style="246" customWidth="1"/>
    <col min="16" max="16" width="11.42578125" style="246" customWidth="1"/>
    <col min="17" max="17" width="20.5703125" style="246" bestFit="1" customWidth="1"/>
    <col min="18" max="16384" width="11.42578125" style="246"/>
  </cols>
  <sheetData>
    <row r="1" spans="1:14" ht="15.75">
      <c r="A1" s="665" t="s">
        <v>114</v>
      </c>
    </row>
    <row r="2" spans="1:14" ht="15.75">
      <c r="A2" s="665" t="s">
        <v>114</v>
      </c>
    </row>
    <row r="3" spans="1:14" ht="15.75">
      <c r="D3"/>
      <c r="E3" s="247"/>
      <c r="F3" s="247"/>
      <c r="G3" s="248"/>
      <c r="I3" s="249"/>
      <c r="J3" s="249"/>
      <c r="K3" s="249"/>
    </row>
    <row r="4" spans="1:14">
      <c r="J4" s="246" t="s">
        <v>818</v>
      </c>
      <c r="L4" s="611">
        <v>2025</v>
      </c>
    </row>
    <row r="5" spans="1:14">
      <c r="D5" s="250"/>
      <c r="E5" s="250"/>
      <c r="F5" s="28" t="s">
        <v>385</v>
      </c>
      <c r="G5" s="2"/>
      <c r="H5" s="2"/>
      <c r="J5" s="250"/>
      <c r="K5" s="250"/>
      <c r="L5" s="250"/>
      <c r="M5" s="251"/>
      <c r="N5" s="252"/>
    </row>
    <row r="6" spans="1:14">
      <c r="D6" s="250"/>
      <c r="E6" s="253"/>
      <c r="F6" s="28" t="s">
        <v>386</v>
      </c>
      <c r="G6" s="2"/>
      <c r="H6" s="2"/>
      <c r="J6" s="253"/>
      <c r="K6" s="250"/>
      <c r="L6" s="250"/>
      <c r="M6" s="251"/>
    </row>
    <row r="7" spans="1:14">
      <c r="D7" s="250"/>
      <c r="E7" s="250"/>
      <c r="F7" s="3" t="str">
        <f>"Utilizing  Actual/Projected FERC Form 1 Data"</f>
        <v>Utilizing  Actual/Projected FERC Form 1 Data</v>
      </c>
      <c r="G7" s="2"/>
      <c r="H7" s="2"/>
      <c r="J7" s="250"/>
      <c r="K7" s="250"/>
      <c r="L7" s="250"/>
      <c r="M7" s="251"/>
    </row>
    <row r="8" spans="1:14">
      <c r="B8" s="254"/>
      <c r="C8" s="255"/>
      <c r="D8" s="250"/>
      <c r="H8" s="256"/>
      <c r="I8" s="256"/>
      <c r="J8" s="256"/>
      <c r="K8" s="256"/>
      <c r="L8" s="250"/>
      <c r="M8" s="250"/>
    </row>
    <row r="9" spans="1:14" ht="15.75">
      <c r="B9" s="254"/>
      <c r="C9" s="255"/>
      <c r="D9"/>
      <c r="E9" s="250"/>
      <c r="F9" s="257" t="s">
        <v>862</v>
      </c>
      <c r="G9" s="258"/>
      <c r="H9" s="250"/>
      <c r="I9" s="250"/>
      <c r="J9" s="250"/>
      <c r="K9" s="250"/>
      <c r="L9"/>
      <c r="M9" s="250"/>
    </row>
    <row r="10" spans="1:14">
      <c r="B10" s="254"/>
      <c r="C10" s="255"/>
      <c r="D10" s="250"/>
      <c r="E10" s="250"/>
      <c r="F10" s="259"/>
      <c r="G10" s="258"/>
      <c r="H10" s="250"/>
      <c r="I10" s="250"/>
      <c r="J10" s="250"/>
      <c r="K10" s="250"/>
      <c r="L10"/>
      <c r="M10" s="250"/>
    </row>
    <row r="11" spans="1:14">
      <c r="B11" s="254" t="s">
        <v>169</v>
      </c>
      <c r="C11" s="255"/>
      <c r="D11" s="250"/>
      <c r="E11" s="250"/>
      <c r="F11" s="250"/>
      <c r="G11" s="258"/>
      <c r="H11" s="250"/>
      <c r="I11" s="250"/>
      <c r="J11" s="250"/>
      <c r="K11" s="250"/>
      <c r="L11" s="255" t="s">
        <v>115</v>
      </c>
      <c r="M11" s="250"/>
    </row>
    <row r="12" spans="1:14" ht="15.75" thickBot="1">
      <c r="B12" s="260" t="s">
        <v>117</v>
      </c>
      <c r="C12" s="255"/>
      <c r="D12" s="250"/>
      <c r="E12" s="255"/>
      <c r="F12" s="250"/>
      <c r="G12" s="250"/>
      <c r="H12" s="250"/>
      <c r="I12" s="250"/>
      <c r="J12" s="250"/>
      <c r="K12" s="250"/>
      <c r="L12" s="261" t="s">
        <v>170</v>
      </c>
      <c r="M12" s="250"/>
    </row>
    <row r="13" spans="1:14">
      <c r="B13" s="254">
        <f>1</f>
        <v>1</v>
      </c>
      <c r="C13" s="255"/>
      <c r="D13" s="2" t="s">
        <v>111</v>
      </c>
      <c r="E13" s="250" t="str">
        <f>"(ln "&amp;B221&amp;")"</f>
        <v>(ln 130)</v>
      </c>
      <c r="F13" s="250"/>
      <c r="G13" s="253"/>
      <c r="H13" s="262"/>
      <c r="I13" s="250"/>
      <c r="J13" s="250"/>
      <c r="K13" s="250"/>
      <c r="L13" s="263">
        <f>+L221</f>
        <v>565575126.85593212</v>
      </c>
      <c r="M13" s="250"/>
    </row>
    <row r="14" spans="1:14" ht="15.75" thickBot="1">
      <c r="B14" s="254"/>
      <c r="C14" s="255"/>
      <c r="E14" s="264"/>
      <c r="F14" s="253"/>
      <c r="G14" s="261" t="s">
        <v>118</v>
      </c>
      <c r="H14" s="253"/>
      <c r="I14" s="265" t="s">
        <v>119</v>
      </c>
      <c r="J14" s="265"/>
      <c r="K14" s="250"/>
      <c r="L14" s="253"/>
      <c r="M14" s="250"/>
    </row>
    <row r="15" spans="1:14">
      <c r="B15" s="254">
        <f>+B13+1</f>
        <v>2</v>
      </c>
      <c r="C15" s="255"/>
      <c r="D15" s="2" t="s">
        <v>168</v>
      </c>
      <c r="E15" s="264" t="s">
        <v>616</v>
      </c>
      <c r="F15" s="253"/>
      <c r="G15" s="266">
        <f>+'WS E Rev Credits'!K31</f>
        <v>16859816.645999998</v>
      </c>
      <c r="H15" s="253"/>
      <c r="I15" s="267" t="s">
        <v>129</v>
      </c>
      <c r="J15" s="268">
        <v>1</v>
      </c>
      <c r="K15" s="253"/>
      <c r="L15" s="269">
        <f>+J15*G15</f>
        <v>16859816.645999998</v>
      </c>
      <c r="M15" s="250"/>
    </row>
    <row r="16" spans="1:14">
      <c r="B16" s="254"/>
      <c r="C16" s="255"/>
      <c r="D16" s="2"/>
      <c r="F16" s="253"/>
      <c r="L16" s="270"/>
      <c r="M16" s="250"/>
    </row>
    <row r="17" spans="2:13">
      <c r="B17" s="254"/>
      <c r="C17" s="255"/>
      <c r="D17" s="2"/>
      <c r="F17" s="253"/>
      <c r="M17" s="250"/>
    </row>
    <row r="18" spans="2:13">
      <c r="B18" s="254">
        <f>+B15+1</f>
        <v>3</v>
      </c>
      <c r="C18" s="255"/>
      <c r="D18" s="2" t="s">
        <v>534</v>
      </c>
      <c r="E18" s="246" t="s">
        <v>617</v>
      </c>
      <c r="F18" s="253"/>
      <c r="L18" s="269">
        <f>'WS E Rev Credits'!K39</f>
        <v>0</v>
      </c>
      <c r="M18" s="250"/>
    </row>
    <row r="19" spans="2:13">
      <c r="B19" s="254"/>
      <c r="C19" s="255"/>
      <c r="D19" s="2"/>
      <c r="F19" s="253"/>
      <c r="M19" s="250"/>
    </row>
    <row r="20" spans="2:13" ht="15.75" thickBot="1">
      <c r="B20" s="254">
        <f>+B18+1</f>
        <v>4</v>
      </c>
      <c r="C20" s="255"/>
      <c r="D20" s="271" t="s">
        <v>464</v>
      </c>
      <c r="E20" s="264" t="str">
        <f>"(ln "&amp;B13&amp;" less  ln " &amp;B15&amp;" plus ln "&amp;B18&amp;")"</f>
        <v>(ln 1 less  ln 2 plus ln 3)</v>
      </c>
      <c r="F20" s="250"/>
      <c r="H20" s="253"/>
      <c r="I20" s="267"/>
      <c r="J20" s="253"/>
      <c r="K20" s="253"/>
      <c r="L20" s="272">
        <f>+L13-L15+L18</f>
        <v>548715310.20993209</v>
      </c>
      <c r="M20" s="250"/>
    </row>
    <row r="21" spans="2:13" ht="15.75" thickTop="1">
      <c r="B21" s="254"/>
      <c r="C21" s="255"/>
      <c r="D21" s="271"/>
      <c r="E21" s="264"/>
      <c r="F21" s="250"/>
      <c r="H21" s="253"/>
      <c r="I21" s="267"/>
      <c r="J21" s="253"/>
      <c r="K21" s="253"/>
      <c r="L21" s="269"/>
      <c r="M21" s="250"/>
    </row>
    <row r="22" spans="2:13">
      <c r="B22" s="254"/>
      <c r="C22" s="255"/>
      <c r="D22" s="271"/>
      <c r="E22" s="264"/>
      <c r="F22" s="250"/>
      <c r="H22" s="253"/>
      <c r="I22" s="267"/>
      <c r="J22" s="253"/>
      <c r="K22" s="253"/>
      <c r="L22" s="269"/>
      <c r="M22" s="250"/>
    </row>
    <row r="23" spans="2:13">
      <c r="B23" s="254"/>
      <c r="C23" s="255"/>
      <c r="D23" s="2"/>
      <c r="E23" s="264"/>
      <c r="F23" s="250"/>
      <c r="H23" s="253"/>
      <c r="I23" s="267"/>
      <c r="J23" s="253"/>
      <c r="K23" s="253"/>
      <c r="L23" s="269"/>
      <c r="M23" s="250"/>
    </row>
    <row r="24" spans="2:13" ht="15" customHeight="1">
      <c r="B24" s="1237" t="str">
        <f>"MEMO:  The Carrying Charge Calculations on lines "&amp;B30&amp;" to "&amp;B37&amp;" below are used in calculating project revenue requirements billed through PJM Schedule 12, Transmission Enhancement Charges.  The total non-incentive revenue requirements for these projects shown on line "&amp;B27&amp;" is included in the total on line "&amp;B20&amp;"."</f>
        <v>MEMO:  The Carrying Charge Calculations on lines 7 to 12 below are used in calculating project revenue requirements billed through PJM Schedule 12, Transmission Enhancement Charges.  The total non-incentive revenue requirements for these projects shown on line 5 is included in the total on line 4.</v>
      </c>
      <c r="C24" s="1237"/>
      <c r="D24" s="1237"/>
      <c r="E24" s="1237"/>
      <c r="F24" s="1237"/>
      <c r="G24" s="1237"/>
      <c r="H24" s="1237"/>
      <c r="I24" s="1237"/>
    </row>
    <row r="25" spans="2:13" ht="35.25" customHeight="1">
      <c r="B25" s="1237"/>
      <c r="C25" s="1237"/>
      <c r="D25" s="1237"/>
      <c r="E25" s="1237"/>
      <c r="F25" s="1237"/>
      <c r="G25" s="1237"/>
      <c r="H25" s="1237"/>
      <c r="I25" s="1237"/>
    </row>
    <row r="26" spans="2:13" ht="15" customHeight="1">
      <c r="B26" s="273"/>
      <c r="C26" s="273"/>
      <c r="D26" s="273"/>
      <c r="E26" s="273"/>
      <c r="F26" s="273"/>
      <c r="G26" s="273"/>
      <c r="H26" s="273"/>
      <c r="I26" s="273"/>
    </row>
    <row r="27" spans="2:13">
      <c r="B27" s="254">
        <f>+B20+1</f>
        <v>5</v>
      </c>
      <c r="C27" s="255"/>
      <c r="D27" s="2" t="s">
        <v>535</v>
      </c>
      <c r="E27" s="264"/>
      <c r="F27" s="253"/>
      <c r="G27" s="266">
        <f>'WS K TRUE-UP RTEP RR'!N22</f>
        <v>28187351.815821402</v>
      </c>
      <c r="H27" s="253"/>
      <c r="I27" s="267" t="s">
        <v>129</v>
      </c>
      <c r="J27" s="268">
        <v>1</v>
      </c>
      <c r="K27" s="250"/>
      <c r="L27" s="269">
        <f>+J27*G27</f>
        <v>28187351.815821402</v>
      </c>
      <c r="M27" s="250"/>
    </row>
    <row r="28" spans="2:13">
      <c r="B28" s="254"/>
      <c r="C28" s="255"/>
      <c r="D28" s="2"/>
      <c r="E28" s="264"/>
      <c r="F28" s="253"/>
      <c r="G28" s="266"/>
      <c r="H28" s="253"/>
      <c r="I28" s="253"/>
      <c r="J28" s="268"/>
      <c r="K28" s="250"/>
      <c r="L28" s="269"/>
      <c r="M28" s="250"/>
    </row>
    <row r="29" spans="2:13">
      <c r="B29" s="254">
        <f>+B27+1</f>
        <v>6</v>
      </c>
      <c r="C29" s="255"/>
      <c r="D29" s="2" t="s">
        <v>373</v>
      </c>
      <c r="E29" s="264"/>
      <c r="F29" s="250"/>
      <c r="G29" s="274"/>
      <c r="H29" s="250"/>
      <c r="J29" s="250"/>
      <c r="K29" s="250"/>
      <c r="M29" s="250"/>
    </row>
    <row r="30" spans="2:13">
      <c r="B30" s="254">
        <f>B29+1</f>
        <v>7</v>
      </c>
      <c r="C30" s="255"/>
      <c r="D30" s="250" t="s">
        <v>250</v>
      </c>
      <c r="E30" s="250" t="str">
        <f>"( (ln "&amp;B13&amp;" - ln "&amp;B175&amp;")/((ln "&amp;$B$95&amp;") x 100) )"</f>
        <v>( (ln 1 - ln 95)/((ln 42) x 100) )</v>
      </c>
      <c r="F30" s="255"/>
      <c r="G30" s="255"/>
      <c r="H30" s="255"/>
      <c r="I30" s="275"/>
      <c r="J30" s="275"/>
      <c r="K30" s="275"/>
      <c r="L30" s="276">
        <f>(L13-L175)/L$95</f>
        <v>0.13963092271150759</v>
      </c>
      <c r="M30" s="250"/>
    </row>
    <row r="31" spans="2:13">
      <c r="B31" s="254">
        <f>B30+1</f>
        <v>8</v>
      </c>
      <c r="C31" s="255"/>
      <c r="D31" s="250" t="s">
        <v>251</v>
      </c>
      <c r="E31" s="250" t="str">
        <f>"(ln "&amp;B30&amp;" / 12)"</f>
        <v>(ln 7 / 12)</v>
      </c>
      <c r="F31" s="255"/>
      <c r="G31" s="255"/>
      <c r="H31" s="255"/>
      <c r="I31" s="275"/>
      <c r="J31" s="275"/>
      <c r="K31" s="275"/>
      <c r="L31" s="276">
        <f>L30/12</f>
        <v>1.1635910225958966E-2</v>
      </c>
      <c r="M31" s="250"/>
    </row>
    <row r="32" spans="2:13">
      <c r="B32" s="254"/>
      <c r="C32" s="255"/>
      <c r="D32" s="250"/>
      <c r="E32" s="250"/>
      <c r="F32" s="255"/>
      <c r="G32" s="255"/>
      <c r="H32" s="255"/>
      <c r="I32" s="275"/>
      <c r="J32" s="275"/>
      <c r="K32" s="275"/>
      <c r="L32" s="276"/>
      <c r="M32" s="250"/>
    </row>
    <row r="33" spans="2:13">
      <c r="B33" s="254">
        <f>B31+1</f>
        <v>9</v>
      </c>
      <c r="C33" s="255"/>
      <c r="D33" s="2" t="str">
        <f>"NET PLANT CARRYING CHARGE ON LINE "&amp;B30&amp;" , w/o depreciation or ROE incentives (Note B)"</f>
        <v>NET PLANT CARRYING CHARGE ON LINE 7 , w/o depreciation or ROE incentives (Note B)</v>
      </c>
      <c r="E33" s="250"/>
      <c r="F33" s="255"/>
      <c r="G33" s="255"/>
      <c r="H33" s="255"/>
      <c r="I33" s="275"/>
      <c r="J33" s="275"/>
      <c r="K33" s="275"/>
      <c r="L33" s="276"/>
      <c r="M33" s="250"/>
    </row>
    <row r="34" spans="2:13">
      <c r="B34" s="254">
        <f>B33+1</f>
        <v>10</v>
      </c>
      <c r="C34" s="255"/>
      <c r="D34" s="250" t="s">
        <v>250</v>
      </c>
      <c r="E34" s="250" t="str">
        <f>"( (ln "&amp;B13&amp;" - ln "&amp;B175&amp;" - ln "&amp;B181&amp;" ) /((ln "&amp;$B$95&amp;") x 100) )"</f>
        <v>( (ln 1 - ln 95 - ln 100 ) /((ln 42) x 100) )</v>
      </c>
      <c r="F34" s="255"/>
      <c r="G34" s="255"/>
      <c r="H34" s="255"/>
      <c r="I34" s="275"/>
      <c r="J34" s="275"/>
      <c r="K34" s="275"/>
      <c r="L34" s="276">
        <f>(L13-L175-L181)/L95</f>
        <v>0.11017952320434825</v>
      </c>
      <c r="M34" s="250"/>
    </row>
    <row r="35" spans="2:13">
      <c r="B35" s="254"/>
      <c r="C35" s="255"/>
      <c r="D35" s="250"/>
      <c r="E35" s="250"/>
      <c r="F35" s="255"/>
      <c r="G35" s="255"/>
      <c r="H35" s="255"/>
      <c r="I35" s="275"/>
      <c r="J35" s="275"/>
      <c r="K35" s="275"/>
      <c r="L35" s="276"/>
      <c r="M35" s="250"/>
    </row>
    <row r="36" spans="2:13">
      <c r="B36" s="254">
        <f>B34+1</f>
        <v>11</v>
      </c>
      <c r="C36" s="255"/>
      <c r="D36" s="2" t="str">
        <f>"NET PLANT CARRYING CHARGE ON LINE "&amp;B34&amp;", w/o Return, income taxes or ROE incentives (Note B)"</f>
        <v>NET PLANT CARRYING CHARGE ON LINE 10, w/o Return, income taxes or ROE incentives (Note B)</v>
      </c>
      <c r="E36" s="250"/>
      <c r="F36" s="68"/>
      <c r="G36" s="68"/>
      <c r="H36" s="68"/>
      <c r="I36" s="68"/>
      <c r="J36" s="68"/>
      <c r="K36" s="68"/>
      <c r="L36" s="68"/>
      <c r="M36"/>
    </row>
    <row r="37" spans="2:13">
      <c r="B37" s="254">
        <f>B36+1</f>
        <v>12</v>
      </c>
      <c r="C37" s="255"/>
      <c r="D37" s="250" t="s">
        <v>250</v>
      </c>
      <c r="E37" s="250" t="str">
        <f>"( (ln "&amp;B13&amp;" - ln "&amp;B175&amp;" - ln "&amp;B181&amp;" - ln "&amp;B211&amp;" - ln "&amp;B213&amp;") /((ln "&amp;$B$95&amp;") x 100) )"</f>
        <v>( (ln 1 - ln 95 - ln 100 - ln 125 - ln 126) /((ln 42) x 100) )</v>
      </c>
      <c r="F37" s="68"/>
      <c r="G37" s="68"/>
      <c r="H37" s="68"/>
      <c r="I37" s="68"/>
      <c r="J37" s="68"/>
      <c r="K37" s="68"/>
      <c r="L37" s="277">
        <f>(L13-L175-L181-L211-L213)/L95</f>
        <v>3.0903272305529098E-2</v>
      </c>
      <c r="M37"/>
    </row>
    <row r="38" spans="2:13">
      <c r="B38" s="254"/>
      <c r="C38" s="255"/>
      <c r="D38" s="250"/>
      <c r="E38" s="250"/>
      <c r="F38" s="255"/>
      <c r="G38" s="255"/>
      <c r="H38" s="255"/>
      <c r="I38" s="275"/>
      <c r="J38" s="275"/>
      <c r="K38" s="275"/>
      <c r="L38" s="276"/>
      <c r="M38" s="278"/>
    </row>
    <row r="39" spans="2:13">
      <c r="B39" s="254">
        <f>B37+1</f>
        <v>13</v>
      </c>
      <c r="C39" s="255"/>
      <c r="D39" s="2" t="s">
        <v>590</v>
      </c>
      <c r="E39" s="250"/>
      <c r="F39" s="255"/>
      <c r="G39" s="255"/>
      <c r="H39" s="255"/>
      <c r="I39" s="275"/>
      <c r="J39" s="275"/>
      <c r="K39" s="275"/>
      <c r="L39" s="279">
        <f>'WS K TRUE-UP RTEP RR'!P23</f>
        <v>0</v>
      </c>
      <c r="M39" s="250"/>
    </row>
    <row r="40" spans="2:13">
      <c r="B40" s="254"/>
      <c r="C40" s="255"/>
      <c r="E40" s="250"/>
      <c r="F40" s="255"/>
      <c r="G40" s="255"/>
      <c r="H40" s="255"/>
      <c r="I40" s="275"/>
      <c r="J40" s="275"/>
      <c r="K40" s="275"/>
      <c r="L40" s="276"/>
      <c r="M40" s="250"/>
    </row>
    <row r="41" spans="2:13">
      <c r="B41" s="246"/>
      <c r="C41" s="255"/>
      <c r="E41" s="250"/>
      <c r="F41" s="255"/>
      <c r="G41" s="255"/>
      <c r="H41" s="255"/>
      <c r="I41" s="275"/>
      <c r="J41" s="275"/>
      <c r="K41" s="275"/>
      <c r="L41" s="276"/>
      <c r="M41" s="250"/>
    </row>
    <row r="42" spans="2:13" ht="15.75">
      <c r="B42" s="254">
        <f>+B39+1</f>
        <v>14</v>
      </c>
      <c r="C42" s="255"/>
      <c r="D42" s="1243" t="s">
        <v>432</v>
      </c>
      <c r="E42" s="1243"/>
      <c r="F42" s="1243"/>
      <c r="G42" s="1243"/>
      <c r="H42" s="1243"/>
      <c r="I42" s="1243"/>
      <c r="J42" s="1243"/>
      <c r="K42" s="1243"/>
      <c r="L42" s="1243"/>
      <c r="M42" s="250"/>
    </row>
    <row r="43" spans="2:13">
      <c r="B43" s="254"/>
      <c r="C43" s="255"/>
      <c r="E43" s="250"/>
      <c r="F43" s="255"/>
      <c r="G43" s="255"/>
      <c r="H43" s="255"/>
      <c r="I43" s="275"/>
      <c r="J43" s="275"/>
      <c r="K43" s="275"/>
      <c r="L43" s="276"/>
      <c r="M43" s="250"/>
    </row>
    <row r="44" spans="2:13">
      <c r="B44" s="254">
        <f>+B42+1</f>
        <v>15</v>
      </c>
      <c r="C44" s="255"/>
      <c r="D44" s="2" t="s">
        <v>434</v>
      </c>
      <c r="E44" s="250" t="str">
        <f>"Line "&amp;B152&amp;" Below"</f>
        <v>Line 75 Below</v>
      </c>
      <c r="F44" s="255"/>
      <c r="H44" s="255"/>
      <c r="I44" s="275"/>
      <c r="J44" s="275"/>
      <c r="K44" s="275"/>
      <c r="L44" s="280">
        <f>+G152</f>
        <v>14479697.219999999</v>
      </c>
      <c r="M44" s="250"/>
    </row>
    <row r="45" spans="2:13">
      <c r="B45" s="254">
        <f>+B44+1</f>
        <v>16</v>
      </c>
      <c r="C45" s="255"/>
      <c r="D45" s="2" t="s">
        <v>472</v>
      </c>
      <c r="E45" s="250"/>
      <c r="F45" s="255"/>
      <c r="H45" s="255"/>
      <c r="I45" s="275"/>
      <c r="J45" s="275"/>
      <c r="K45" s="275"/>
      <c r="L45" s="612">
        <f>'WS F Misc Exp'!D28</f>
        <v>7653360.5099999998</v>
      </c>
      <c r="M45" s="250"/>
    </row>
    <row r="46" spans="2:13">
      <c r="B46" s="254">
        <f>+B45+1</f>
        <v>17</v>
      </c>
      <c r="C46" s="255"/>
      <c r="D46" s="2" t="s">
        <v>473</v>
      </c>
      <c r="E46" s="250"/>
      <c r="F46" s="255"/>
      <c r="H46" s="255"/>
      <c r="I46" s="275"/>
      <c r="J46" s="275"/>
      <c r="K46" s="275"/>
      <c r="L46" s="612">
        <f>'WS F Misc Exp'!D32</f>
        <v>2214852.77</v>
      </c>
      <c r="M46" s="250"/>
    </row>
    <row r="47" spans="2:13">
      <c r="B47" s="254"/>
      <c r="C47" s="255"/>
      <c r="E47" s="250"/>
      <c r="F47" s="255"/>
      <c r="H47" s="255"/>
      <c r="I47" s="275"/>
      <c r="J47" s="275"/>
      <c r="K47" s="275"/>
      <c r="L47" s="255"/>
      <c r="M47" s="250"/>
    </row>
    <row r="48" spans="2:13" ht="15.75" thickBot="1">
      <c r="B48" s="254">
        <f>+B46+1</f>
        <v>18</v>
      </c>
      <c r="C48" s="255"/>
      <c r="D48" s="2" t="s">
        <v>433</v>
      </c>
      <c r="E48" s="262" t="str">
        <f>"(Line "&amp;B44&amp;" - Line "&amp;B45&amp;" - Line "&amp;B46&amp;")"</f>
        <v>(Line 15 - Line 16 - Line 17)</v>
      </c>
      <c r="F48" s="255"/>
      <c r="H48" s="255"/>
      <c r="I48" s="275"/>
      <c r="J48" s="275"/>
      <c r="K48" s="275"/>
      <c r="L48" s="281">
        <f>+L44-L45-L46</f>
        <v>4611483.9399999995</v>
      </c>
      <c r="M48" s="250"/>
    </row>
    <row r="49" spans="2:15" ht="15.75" thickTop="1">
      <c r="B49" s="254"/>
      <c r="C49" s="255"/>
      <c r="E49" s="250"/>
      <c r="F49" s="255"/>
      <c r="G49" s="255"/>
      <c r="H49" s="255"/>
      <c r="I49" s="275"/>
      <c r="J49" s="275"/>
      <c r="K49" s="275"/>
      <c r="L49" s="276"/>
      <c r="M49" s="250"/>
    </row>
    <row r="50" spans="2:15">
      <c r="B50" s="254"/>
      <c r="C50" s="255"/>
      <c r="E50" s="250"/>
      <c r="F50" s="255"/>
      <c r="G50" s="255"/>
      <c r="H50" s="255"/>
      <c r="I50" s="275"/>
      <c r="J50" s="275"/>
      <c r="K50" s="275"/>
      <c r="L50" s="276"/>
      <c r="M50" s="250"/>
    </row>
    <row r="51" spans="2:15">
      <c r="B51" s="254"/>
      <c r="C51" s="255"/>
      <c r="E51" s="250"/>
      <c r="F51" s="255"/>
      <c r="G51" s="255"/>
      <c r="H51" s="255"/>
      <c r="I51" s="275"/>
      <c r="J51" s="275"/>
      <c r="K51" s="275"/>
      <c r="L51" s="276"/>
      <c r="M51" s="250"/>
    </row>
    <row r="52" spans="2:15">
      <c r="D52" s="250"/>
      <c r="E52" s="250"/>
      <c r="G52" s="262"/>
      <c r="H52" s="250"/>
      <c r="I52" s="250"/>
      <c r="J52" s="250"/>
      <c r="K52" s="250"/>
      <c r="L52" s="250"/>
      <c r="M52" s="282"/>
    </row>
    <row r="53" spans="2:15">
      <c r="D53" s="250"/>
      <c r="E53" s="250"/>
      <c r="F53" s="255"/>
      <c r="G53" s="262"/>
      <c r="H53" s="250"/>
      <c r="I53" s="250"/>
      <c r="J53" s="250"/>
      <c r="K53" s="250"/>
      <c r="L53" s="250"/>
      <c r="M53" s="282"/>
      <c r="O53" s="283"/>
    </row>
    <row r="54" spans="2:15">
      <c r="D54" s="250"/>
      <c r="E54" s="250"/>
      <c r="F54" s="255" t="str">
        <f>F5</f>
        <v xml:space="preserve">AEP East Companies </v>
      </c>
      <c r="G54" s="262"/>
      <c r="H54" s="250"/>
      <c r="I54" s="250"/>
      <c r="J54" s="250"/>
      <c r="K54" s="250"/>
      <c r="L54" s="250"/>
      <c r="M54" s="282"/>
      <c r="O54" s="283"/>
    </row>
    <row r="55" spans="2:15">
      <c r="D55" s="250"/>
      <c r="E55" s="253"/>
      <c r="F55" s="255" t="str">
        <f>F6</f>
        <v>Transmission Cost of Service Formula Rate</v>
      </c>
      <c r="G55" s="253"/>
      <c r="H55" s="253"/>
      <c r="I55" s="253"/>
      <c r="J55" s="253"/>
      <c r="K55" s="253"/>
      <c r="L55" s="253"/>
      <c r="M55" s="284"/>
      <c r="O55" s="279"/>
    </row>
    <row r="56" spans="2:15">
      <c r="D56" s="250"/>
      <c r="E56" s="253"/>
      <c r="F56" s="267" t="str">
        <f>F7</f>
        <v>Utilizing  Actual/Projected FERC Form 1 Data</v>
      </c>
      <c r="G56" s="253"/>
      <c r="H56" s="253"/>
      <c r="I56" s="253"/>
      <c r="J56" s="253"/>
      <c r="K56" s="253"/>
      <c r="L56" s="253"/>
      <c r="M56" s="285"/>
      <c r="O56" s="279"/>
    </row>
    <row r="57" spans="2:15">
      <c r="D57" s="250"/>
      <c r="E57" s="253"/>
      <c r="F57" s="255"/>
      <c r="G57" s="253"/>
      <c r="H57" s="253"/>
      <c r="I57" s="253"/>
      <c r="J57" s="253"/>
      <c r="K57" s="253"/>
      <c r="L57" s="253"/>
      <c r="M57" s="253"/>
      <c r="O57" s="279"/>
    </row>
    <row r="58" spans="2:15">
      <c r="D58" s="250"/>
      <c r="E58" s="253"/>
      <c r="F58" s="255" t="str">
        <f>F9</f>
        <v>Appalachian Power Company</v>
      </c>
      <c r="G58" s="253"/>
      <c r="H58" s="253"/>
      <c r="I58" s="253"/>
      <c r="J58" s="253"/>
      <c r="K58" s="253"/>
      <c r="L58" s="253"/>
      <c r="M58" s="253"/>
      <c r="O58" s="279"/>
    </row>
    <row r="59" spans="2:15">
      <c r="D59" s="250"/>
      <c r="E59" s="267"/>
      <c r="F59" s="267"/>
      <c r="G59" s="267"/>
      <c r="H59" s="267"/>
      <c r="I59" s="267"/>
      <c r="J59" s="267"/>
      <c r="K59" s="267"/>
      <c r="L59" s="253"/>
      <c r="M59" s="253"/>
      <c r="O59" s="279"/>
    </row>
    <row r="60" spans="2:15">
      <c r="D60" s="255" t="s">
        <v>121</v>
      </c>
      <c r="E60" s="255" t="s">
        <v>122</v>
      </c>
      <c r="F60" s="255"/>
      <c r="G60" s="255" t="s">
        <v>123</v>
      </c>
      <c r="H60" s="253" t="s">
        <v>114</v>
      </c>
      <c r="I60" s="1238" t="s">
        <v>124</v>
      </c>
      <c r="J60" s="1239"/>
      <c r="K60" s="253"/>
      <c r="L60" s="256" t="s">
        <v>125</v>
      </c>
      <c r="M60" s="253"/>
    </row>
    <row r="61" spans="2:15">
      <c r="B61" s="246"/>
      <c r="D61" s="68"/>
      <c r="E61" s="68"/>
      <c r="F61" s="68"/>
      <c r="G61" s="280"/>
      <c r="H61" s="253"/>
      <c r="I61" s="253"/>
      <c r="J61" s="287"/>
      <c r="K61" s="253"/>
      <c r="M61" s="253"/>
    </row>
    <row r="62" spans="2:15" ht="15.75">
      <c r="B62" s="288"/>
      <c r="C62" s="255"/>
      <c r="D62" s="68"/>
      <c r="E62" s="289" t="s">
        <v>95</v>
      </c>
      <c r="F62" s="290"/>
      <c r="G62" s="253"/>
      <c r="H62" s="253"/>
      <c r="I62" s="253"/>
      <c r="J62" s="255"/>
      <c r="K62" s="253"/>
      <c r="L62" s="291" t="s">
        <v>118</v>
      </c>
      <c r="M62" s="253"/>
      <c r="O62" s="283"/>
    </row>
    <row r="63" spans="2:15" ht="15.75">
      <c r="B63" s="246"/>
      <c r="C63" s="255"/>
      <c r="D63" s="292" t="s">
        <v>94</v>
      </c>
      <c r="E63" s="293" t="s">
        <v>112</v>
      </c>
      <c r="F63" s="253"/>
      <c r="G63" s="292" t="s">
        <v>81</v>
      </c>
      <c r="H63" s="294"/>
      <c r="I63" s="1240" t="s">
        <v>119</v>
      </c>
      <c r="J63" s="1241"/>
      <c r="K63" s="294"/>
      <c r="L63" s="292" t="s">
        <v>115</v>
      </c>
      <c r="M63" s="253"/>
    </row>
    <row r="64" spans="2:15">
      <c r="B64" s="254" t="str">
        <f>B11</f>
        <v>Line</v>
      </c>
      <c r="C64" s="255"/>
      <c r="D64" s="250"/>
      <c r="E64" s="253"/>
      <c r="F64" s="253"/>
      <c r="G64" s="822" t="s">
        <v>354</v>
      </c>
      <c r="H64" s="253"/>
      <c r="I64" s="253"/>
      <c r="J64" s="253"/>
      <c r="K64" s="253"/>
      <c r="L64" s="253"/>
      <c r="M64" s="253"/>
    </row>
    <row r="65" spans="2:14" ht="15.75" thickBot="1">
      <c r="B65" s="260" t="str">
        <f>B12</f>
        <v>No.</v>
      </c>
      <c r="C65" s="255"/>
      <c r="D65" s="250" t="s">
        <v>82</v>
      </c>
      <c r="E65" s="267"/>
      <c r="F65" s="267"/>
      <c r="G65" s="253"/>
      <c r="H65" s="253"/>
      <c r="I65" s="267"/>
      <c r="J65" s="253"/>
      <c r="K65" s="253"/>
      <c r="L65" s="253"/>
      <c r="M65" s="253"/>
    </row>
    <row r="66" spans="2:14">
      <c r="B66" s="254">
        <f>+B48+1</f>
        <v>19</v>
      </c>
      <c r="C66" s="255"/>
      <c r="D66" s="250" t="s">
        <v>126</v>
      </c>
      <c r="E66" s="253" t="str">
        <f>"(Worksheet A ln "&amp;'WS A - RB Support'!A23&amp;"."&amp;'WS A - RB Support'!C8&amp;")"</f>
        <v>(Worksheet A ln 14.(b))</v>
      </c>
      <c r="F66" s="253"/>
      <c r="G66" s="266">
        <f>'WS A - RB Support'!C23</f>
        <v>7355112778.43923</v>
      </c>
      <c r="H66" s="266"/>
      <c r="I66" s="267" t="s">
        <v>127</v>
      </c>
      <c r="J66" s="268">
        <v>0</v>
      </c>
      <c r="K66" s="253"/>
      <c r="L66" s="295">
        <f>+J66*G66</f>
        <v>0</v>
      </c>
      <c r="M66" s="253"/>
    </row>
    <row r="67" spans="2:14">
      <c r="B67" s="254">
        <f>+B66+1</f>
        <v>20</v>
      </c>
      <c r="C67" s="255"/>
      <c r="D67" s="250" t="s">
        <v>377</v>
      </c>
      <c r="E67" s="253" t="str">
        <f>"(Worksheet A ln "&amp;'WS A - RB Support'!A23&amp;"."&amp;'WS A - RB Support'!D8&amp;")"</f>
        <v>(Worksheet A ln 14.(c))</v>
      </c>
      <c r="F67" s="253"/>
      <c r="G67" s="295">
        <f>-'WS A - RB Support'!D23</f>
        <v>-256961566.84076923</v>
      </c>
      <c r="H67" s="266"/>
      <c r="I67" s="267" t="s">
        <v>127</v>
      </c>
      <c r="J67" s="268">
        <v>0</v>
      </c>
      <c r="K67" s="253"/>
      <c r="L67" s="295">
        <f>+J67*G67</f>
        <v>0</v>
      </c>
      <c r="M67" s="253"/>
    </row>
    <row r="68" spans="2:14">
      <c r="B68" s="254">
        <f t="shared" ref="B68:B74" si="0">+B67+1</f>
        <v>21</v>
      </c>
      <c r="C68" s="307"/>
      <c r="D68" s="296" t="s">
        <v>128</v>
      </c>
      <c r="E68" s="253" t="str">
        <f>"(Worksheet A ln "&amp;'WS A - RB Support'!A23&amp;"."&amp;'WS A - RB Support'!E8&amp;" &amp; TCOS Ln "&amp;B237&amp;")"</f>
        <v>(Worksheet A ln 14.(d) &amp; TCOS Ln 134)</v>
      </c>
      <c r="F68" s="297"/>
      <c r="G68" s="266">
        <f>'WS A - RB Support'!E23</f>
        <v>5116271373.7061539</v>
      </c>
      <c r="H68" s="266"/>
      <c r="I68" s="298" t="s">
        <v>129</v>
      </c>
      <c r="J68" s="268" t="s">
        <v>114</v>
      </c>
      <c r="K68" s="299"/>
      <c r="L68" s="295">
        <f>+L237</f>
        <v>5033344077.0161533</v>
      </c>
      <c r="M68" s="299"/>
    </row>
    <row r="69" spans="2:14">
      <c r="B69" s="254">
        <f t="shared" si="0"/>
        <v>22</v>
      </c>
      <c r="C69" s="307"/>
      <c r="D69" s="250" t="s">
        <v>378</v>
      </c>
      <c r="E69" s="253" t="str">
        <f>"(Worksheet A ln "&amp;'WS A - RB Support'!A23&amp;"."&amp;'WS A - RB Support'!F8&amp;")"</f>
        <v>(Worksheet A ln 14.(e))</v>
      </c>
      <c r="F69" s="297"/>
      <c r="G69" s="266">
        <f>-'WS A - RB Support'!F23</f>
        <v>0</v>
      </c>
      <c r="H69" s="266"/>
      <c r="I69" s="298" t="s">
        <v>120</v>
      </c>
      <c r="J69" s="268">
        <f>L239</f>
        <v>0.98379145853830474</v>
      </c>
      <c r="K69" s="299"/>
      <c r="L69" s="295">
        <f>+G69*J69</f>
        <v>0</v>
      </c>
      <c r="M69" s="299"/>
    </row>
    <row r="70" spans="2:14">
      <c r="B70" s="254">
        <f>+B69+1</f>
        <v>23</v>
      </c>
      <c r="C70" s="307"/>
      <c r="D70" s="250" t="s">
        <v>130</v>
      </c>
      <c r="E70" s="253" t="str">
        <f>"(Worksheet A ln "&amp;'WS A - RB Support'!A23&amp;"."&amp;'WS A - RB Support'!G8&amp;")"</f>
        <v>(Worksheet A ln 14.(f))</v>
      </c>
      <c r="F70" s="253"/>
      <c r="G70" s="266">
        <f>'WS A - RB Support'!G23</f>
        <v>5835740766.7869244</v>
      </c>
      <c r="H70" s="266"/>
      <c r="I70" s="267" t="s">
        <v>127</v>
      </c>
      <c r="J70" s="268">
        <v>0</v>
      </c>
      <c r="K70" s="253"/>
      <c r="L70" s="295">
        <f>+J70*G70</f>
        <v>0</v>
      </c>
      <c r="M70" s="253"/>
    </row>
    <row r="71" spans="2:14">
      <c r="B71" s="254">
        <f t="shared" si="0"/>
        <v>24</v>
      </c>
      <c r="C71" s="307"/>
      <c r="D71" s="250" t="s">
        <v>375</v>
      </c>
      <c r="E71" s="253" t="str">
        <f>"(Worksheet A ln "&amp;'WS A - RB Support'!A23&amp;"."&amp;'WS A - RB Support'!H8&amp;")"</f>
        <v>(Worksheet A ln 14.(g))</v>
      </c>
      <c r="F71" s="253"/>
      <c r="G71" s="295">
        <f>-'WS A - RB Support'!H23</f>
        <v>-3068.56</v>
      </c>
      <c r="H71" s="266"/>
      <c r="I71" s="267" t="s">
        <v>127</v>
      </c>
      <c r="J71" s="268">
        <v>0</v>
      </c>
      <c r="K71" s="253"/>
      <c r="L71" s="295">
        <f>+G71*J71</f>
        <v>0</v>
      </c>
      <c r="M71" s="253"/>
    </row>
    <row r="72" spans="2:14">
      <c r="B72" s="254">
        <f t="shared" si="0"/>
        <v>25</v>
      </c>
      <c r="C72" s="307"/>
      <c r="D72" s="250" t="s">
        <v>131</v>
      </c>
      <c r="E72" s="253" t="str">
        <f>"(Worksheet A ln "&amp;'WS A - RB Support'!A23&amp;"."&amp;'WS A - RB Support'!I8&amp;")"</f>
        <v>(Worksheet A ln 14.(h))</v>
      </c>
      <c r="F72" s="253"/>
      <c r="G72" s="266">
        <f>'WS A - RB Support'!I23</f>
        <v>908395819.68615365</v>
      </c>
      <c r="H72" s="266"/>
      <c r="I72" s="267" t="s">
        <v>132</v>
      </c>
      <c r="J72" s="268">
        <f>L257</f>
        <v>0.11936202903264627</v>
      </c>
      <c r="K72" s="253"/>
      <c r="L72" s="295">
        <f>+J72*G72</f>
        <v>108427968.20251317</v>
      </c>
      <c r="M72" s="253"/>
    </row>
    <row r="73" spans="2:14">
      <c r="B73" s="254">
        <f t="shared" si="0"/>
        <v>26</v>
      </c>
      <c r="C73" s="307"/>
      <c r="D73" s="250" t="s">
        <v>376</v>
      </c>
      <c r="E73" s="253" t="str">
        <f>"(Worksheet A ln "&amp;'WS A - RB Support'!A23&amp;"."&amp;'WS A - RB Support'!J8&amp;")"</f>
        <v>(Worksheet A ln 14.(i))</v>
      </c>
      <c r="F73" s="253"/>
      <c r="G73" s="295">
        <f>-'WS A - RB Support'!J23</f>
        <v>-1429940.6700000002</v>
      </c>
      <c r="H73" s="266"/>
      <c r="I73" s="267" t="s">
        <v>132</v>
      </c>
      <c r="J73" s="268">
        <f>L257</f>
        <v>0.11936202903264627</v>
      </c>
      <c r="K73" s="253"/>
      <c r="L73" s="295">
        <f>+G73*J73</f>
        <v>-170680.61976750169</v>
      </c>
      <c r="M73" s="253"/>
    </row>
    <row r="74" spans="2:14">
      <c r="B74" s="254">
        <f t="shared" si="0"/>
        <v>27</v>
      </c>
      <c r="C74" s="307"/>
      <c r="D74" s="250" t="s">
        <v>133</v>
      </c>
      <c r="E74" s="253" t="str">
        <f>"(Worksheet A ln "&amp;'WS A - RB Support'!A23&amp;"."&amp;'WS A - RB Support'!K8&amp;")"</f>
        <v>(Worksheet A ln 14.(j))</v>
      </c>
      <c r="F74" s="253"/>
      <c r="G74" s="266">
        <f>'WS A - RB Support'!K23</f>
        <v>41042028.276923068</v>
      </c>
      <c r="H74" s="266"/>
      <c r="I74" s="267" t="s">
        <v>132</v>
      </c>
      <c r="J74" s="268">
        <f>L257</f>
        <v>0.11936202903264627</v>
      </c>
      <c r="K74" s="253"/>
      <c r="L74" s="1189">
        <f>+J74*G74</f>
        <v>4898859.7707487801</v>
      </c>
      <c r="M74" s="253"/>
      <c r="N74" s="250"/>
    </row>
    <row r="75" spans="2:14">
      <c r="B75" s="254" t="s">
        <v>1423</v>
      </c>
      <c r="C75" s="307"/>
      <c r="D75" s="250" t="s">
        <v>1424</v>
      </c>
      <c r="E75" s="253" t="str">
        <f>"(Worksheet A ln "&amp;'WS A - RB Support'!A23&amp;"."&amp;'WS A - RB Support'!L8&amp;")"</f>
        <v>(Worksheet A ln 14.(k))</v>
      </c>
      <c r="F75" s="253"/>
      <c r="G75" s="266">
        <f>'WS A - RB Support'!L23</f>
        <v>5285768.1230769213</v>
      </c>
      <c r="H75" s="266"/>
      <c r="I75" s="267" t="s">
        <v>1438</v>
      </c>
      <c r="J75" s="268">
        <f>L246</f>
        <v>0</v>
      </c>
      <c r="K75" s="253"/>
      <c r="L75" s="1189">
        <f t="shared" ref="L75:L76" si="1">+J75*G75</f>
        <v>0</v>
      </c>
      <c r="M75" s="253"/>
      <c r="N75" s="250"/>
    </row>
    <row r="76" spans="2:14" ht="15.75" thickBot="1">
      <c r="B76" s="254" t="s">
        <v>1425</v>
      </c>
      <c r="C76" s="307"/>
      <c r="D76" s="250" t="s">
        <v>1426</v>
      </c>
      <c r="E76" s="253" t="str">
        <f>"(Worksheet A ln "&amp;'WS A - RB Support'!A23&amp;"."&amp;'WS A - RB Support'!M8&amp;")"</f>
        <v>(Worksheet A ln 14.(l))</v>
      </c>
      <c r="F76" s="253"/>
      <c r="G76" s="301">
        <f>'WS A - RB Support'!M23</f>
        <v>0</v>
      </c>
      <c r="H76" s="266"/>
      <c r="I76" s="267" t="s">
        <v>1438</v>
      </c>
      <c r="J76" s="268">
        <f>L246</f>
        <v>0</v>
      </c>
      <c r="K76" s="253"/>
      <c r="L76" s="354">
        <f t="shared" si="1"/>
        <v>0</v>
      </c>
      <c r="M76" s="253"/>
      <c r="N76" s="250"/>
    </row>
    <row r="77" spans="2:14" ht="15.75">
      <c r="B77" s="254">
        <f>+B74+1</f>
        <v>28</v>
      </c>
      <c r="C77" s="307"/>
      <c r="D77" s="250" t="s">
        <v>47</v>
      </c>
      <c r="E77" s="255" t="str">
        <f>"(sum lns "&amp;B66&amp;" to "&amp;B74&amp;")"</f>
        <v>(sum lns 19 to 27)</v>
      </c>
      <c r="F77" s="4"/>
      <c r="G77" s="266">
        <f>SUM(G66:G76)</f>
        <v>19003453958.947693</v>
      </c>
      <c r="H77" s="266"/>
      <c r="I77" s="289" t="s">
        <v>754</v>
      </c>
      <c r="J77" s="302">
        <f>+L77/G77</f>
        <v>0.2708192013666253</v>
      </c>
      <c r="K77" s="253"/>
      <c r="L77" s="266">
        <f>SUM(L66:L76)</f>
        <v>5146500224.369648</v>
      </c>
      <c r="M77" s="253"/>
      <c r="N77" s="250"/>
    </row>
    <row r="78" spans="2:14" ht="15.75">
      <c r="B78" s="254"/>
      <c r="C78" s="255"/>
      <c r="D78" s="250"/>
      <c r="E78" s="78"/>
      <c r="F78" s="4"/>
      <c r="G78" s="266"/>
      <c r="H78" s="266"/>
      <c r="I78" s="290" t="s">
        <v>216</v>
      </c>
      <c r="J78" s="303">
        <f>+L68/(G70+G68+G71)</f>
        <v>0.45958180311548497</v>
      </c>
      <c r="K78" s="253"/>
      <c r="L78" s="266"/>
      <c r="M78" s="253"/>
      <c r="N78" s="250"/>
    </row>
    <row r="79" spans="2:14">
      <c r="B79" s="254">
        <f>+B77+1</f>
        <v>29</v>
      </c>
      <c r="C79" s="255"/>
      <c r="D79" s="250" t="s">
        <v>24</v>
      </c>
      <c r="E79" s="267"/>
      <c r="F79" s="267"/>
      <c r="G79" s="266"/>
      <c r="H79" s="304"/>
      <c r="I79" s="267"/>
      <c r="J79" s="305"/>
      <c r="K79" s="253"/>
      <c r="L79" s="266"/>
      <c r="M79" s="253"/>
      <c r="N79" s="253"/>
    </row>
    <row r="80" spans="2:14">
      <c r="B80" s="254">
        <f>+B79+1</f>
        <v>30</v>
      </c>
      <c r="C80" s="255"/>
      <c r="D80" s="250" t="str">
        <f>+D66</f>
        <v xml:space="preserve">  Production</v>
      </c>
      <c r="E80" s="253" t="str">
        <f>"(Worksheet A ln "&amp;'WS A - RB Support'!A42&amp;"."&amp;'WS A - RB Support'!C27&amp;")"</f>
        <v>(Worksheet A ln 28.(b))</v>
      </c>
      <c r="F80" s="253"/>
      <c r="G80" s="266">
        <f>'WS A - RB Support'!C42</f>
        <v>3715228859.9669232</v>
      </c>
      <c r="H80" s="266"/>
      <c r="I80" s="267" t="s">
        <v>127</v>
      </c>
      <c r="J80" s="268">
        <v>0</v>
      </c>
      <c r="K80" s="253"/>
      <c r="L80" s="295">
        <f>+J80*G80</f>
        <v>0</v>
      </c>
      <c r="M80" s="253"/>
      <c r="N80" s="253"/>
    </row>
    <row r="81" spans="2:14">
      <c r="B81" s="254">
        <f t="shared" ref="B81:B88" si="2">+B80+1</f>
        <v>31</v>
      </c>
      <c r="C81" s="255"/>
      <c r="D81" s="250" t="s">
        <v>377</v>
      </c>
      <c r="E81" s="253" t="str">
        <f>"(Worksheet A ln "&amp;'WS A - RB Support'!A42&amp;"."&amp;'WS A - RB Support'!D27&amp;")"</f>
        <v>(Worksheet A ln 28.(c))</v>
      </c>
      <c r="F81" s="253"/>
      <c r="G81" s="295">
        <f>-'WS A - RB Support'!D42</f>
        <v>-74940900.643076926</v>
      </c>
      <c r="H81" s="266"/>
      <c r="I81" s="267" t="s">
        <v>127</v>
      </c>
      <c r="J81" s="268">
        <v>0</v>
      </c>
      <c r="K81" s="253"/>
      <c r="L81" s="295">
        <f>+J81*G81</f>
        <v>0</v>
      </c>
      <c r="M81" s="253"/>
      <c r="N81" s="253"/>
    </row>
    <row r="82" spans="2:14" ht="15.75">
      <c r="B82" s="254">
        <f t="shared" si="2"/>
        <v>32</v>
      </c>
      <c r="C82" s="307"/>
      <c r="D82" s="296" t="str">
        <f>D68</f>
        <v xml:space="preserve">  Transmission</v>
      </c>
      <c r="E82" s="253" t="str">
        <f>"(Worksheet A ln "&amp;'WS A - RB Support'!A42&amp;"."&amp;'WS A - RB Support'!E27&amp;" &amp; "&amp;"ln "&amp;'WS A - RB Support'!A64&amp;"."&amp;'WS A - RB Support'!D47&amp;")"</f>
        <v>(Worksheet A ln 28.(d) &amp; ln 43.(c))</v>
      </c>
      <c r="F82" s="297"/>
      <c r="G82" s="300">
        <f>'WS A - RB Support'!E42</f>
        <v>1012134925.5761536</v>
      </c>
      <c r="H82" s="266"/>
      <c r="I82" s="821" t="s">
        <v>27</v>
      </c>
      <c r="J82" s="306">
        <f>L82/G82</f>
        <v>0.97105980561882121</v>
      </c>
      <c r="K82" s="299"/>
      <c r="L82" s="295">
        <f>'WS A - RB Support'!D64</f>
        <v>982843544.08999979</v>
      </c>
      <c r="M82" s="299"/>
      <c r="N82" s="253"/>
    </row>
    <row r="83" spans="2:14" ht="15.75">
      <c r="B83" s="254">
        <f t="shared" si="2"/>
        <v>33</v>
      </c>
      <c r="C83" s="307"/>
      <c r="D83" s="250" t="s">
        <v>378</v>
      </c>
      <c r="E83" s="253" t="str">
        <f>"(Worksheet A ln "&amp;'WS A - RB Support'!A42&amp;"."&amp;'WS A - RB Support'!F27&amp;")"</f>
        <v>(Worksheet A ln 28.(e))</v>
      </c>
      <c r="F83" s="297"/>
      <c r="G83" s="295">
        <f>-'WS A - RB Support'!F42</f>
        <v>0</v>
      </c>
      <c r="H83" s="266"/>
      <c r="I83" s="821" t="s">
        <v>27</v>
      </c>
      <c r="J83" s="268">
        <f>+J82</f>
        <v>0.97105980561882121</v>
      </c>
      <c r="K83" s="299"/>
      <c r="L83" s="295">
        <f t="shared" ref="L83:L90" si="3">+J83*G83</f>
        <v>0</v>
      </c>
      <c r="M83" s="299"/>
      <c r="N83" s="253"/>
    </row>
    <row r="84" spans="2:14">
      <c r="B84" s="254">
        <f>+B83+1</f>
        <v>34</v>
      </c>
      <c r="C84" s="307"/>
      <c r="D84" s="250" t="str">
        <f>+D70</f>
        <v xml:space="preserve">  Distribution</v>
      </c>
      <c r="E84" s="253" t="str">
        <f>"(Worksheet A ln "&amp;'WS A - RB Support'!A42&amp;"."&amp;'WS A - RB Support'!G27&amp;")"</f>
        <v>(Worksheet A ln 28.(f))</v>
      </c>
      <c r="F84" s="253"/>
      <c r="G84" s="266">
        <f>'WS A - RB Support'!G42</f>
        <v>1983380071.5800004</v>
      </c>
      <c r="H84" s="266"/>
      <c r="I84" s="267" t="s">
        <v>127</v>
      </c>
      <c r="J84" s="268">
        <v>0</v>
      </c>
      <c r="K84" s="253"/>
      <c r="L84" s="295">
        <f t="shared" si="3"/>
        <v>0</v>
      </c>
      <c r="M84" s="253"/>
      <c r="N84" s="253"/>
    </row>
    <row r="85" spans="2:14">
      <c r="B85" s="254">
        <f t="shared" si="2"/>
        <v>35</v>
      </c>
      <c r="C85" s="307"/>
      <c r="D85" s="250" t="s">
        <v>375</v>
      </c>
      <c r="E85" s="253" t="str">
        <f>"(Worksheet A ln "&amp;'WS A - RB Support'!A42&amp;"."&amp;'WS A - RB Support'!H27&amp;")"</f>
        <v>(Worksheet A ln 28.(g))</v>
      </c>
      <c r="F85" s="253"/>
      <c r="G85" s="295">
        <f>-'WS A - RB Support'!H42</f>
        <v>-2375.836153846154</v>
      </c>
      <c r="H85" s="266"/>
      <c r="I85" s="267" t="s">
        <v>127</v>
      </c>
      <c r="J85" s="268">
        <v>0</v>
      </c>
      <c r="K85" s="253"/>
      <c r="L85" s="295">
        <f t="shared" si="3"/>
        <v>0</v>
      </c>
      <c r="M85" s="253"/>
      <c r="N85" s="253"/>
    </row>
    <row r="86" spans="2:14">
      <c r="B86" s="254">
        <f t="shared" si="2"/>
        <v>36</v>
      </c>
      <c r="C86" s="307"/>
      <c r="D86" s="250" t="str">
        <f>+D72</f>
        <v xml:space="preserve">  General Plant   </v>
      </c>
      <c r="E86" s="253" t="str">
        <f>"(Worksheet A ln "&amp;'WS A - RB Support'!A42&amp;"."&amp;'WS A - RB Support'!I27&amp;")"</f>
        <v>(Worksheet A ln 28.(h))</v>
      </c>
      <c r="F86" s="253"/>
      <c r="G86" s="266">
        <f>'WS A - RB Support'!I42</f>
        <v>281510986.93615395</v>
      </c>
      <c r="H86" s="266"/>
      <c r="I86" s="267" t="s">
        <v>132</v>
      </c>
      <c r="J86" s="268">
        <f>L257</f>
        <v>0.11936202903264627</v>
      </c>
      <c r="K86" s="253"/>
      <c r="L86" s="295">
        <f t="shared" si="3"/>
        <v>33601722.595682114</v>
      </c>
      <c r="M86" s="253"/>
      <c r="N86" s="253"/>
    </row>
    <row r="87" spans="2:14">
      <c r="B87" s="254">
        <f t="shared" si="2"/>
        <v>37</v>
      </c>
      <c r="C87" s="307"/>
      <c r="D87" s="250" t="s">
        <v>376</v>
      </c>
      <c r="E87" s="253" t="str">
        <f>"(Worksheet A ln "&amp;'WS A - RB Support'!A42&amp;"."&amp;'WS A - RB Support'!J27&amp;")"</f>
        <v>(Worksheet A ln 28.(i))</v>
      </c>
      <c r="F87" s="253"/>
      <c r="G87" s="295">
        <f>-'WS A - RB Support'!J42</f>
        <v>-920027.91230769246</v>
      </c>
      <c r="H87" s="266"/>
      <c r="I87" s="267" t="s">
        <v>132</v>
      </c>
      <c r="J87" s="268">
        <f>L257</f>
        <v>0.11936202903264627</v>
      </c>
      <c r="K87" s="253"/>
      <c r="L87" s="295">
        <f t="shared" si="3"/>
        <v>-109816.39837971573</v>
      </c>
      <c r="M87" s="253"/>
      <c r="N87" s="253"/>
    </row>
    <row r="88" spans="2:14">
      <c r="B88" s="254">
        <f t="shared" si="2"/>
        <v>38</v>
      </c>
      <c r="C88" s="307"/>
      <c r="D88" s="250" t="str">
        <f>+D74</f>
        <v xml:space="preserve">  Intangible Plant</v>
      </c>
      <c r="E88" s="253" t="str">
        <f>"(Worksheet A ln "&amp;'WS A - RB Support'!A42&amp;"."&amp;'WS A - RB Support'!K27&amp;")"</f>
        <v>(Worksheet A ln 28.(j))</v>
      </c>
      <c r="F88" s="253"/>
      <c r="G88" s="266">
        <f>'WS A - RB Support'!K42</f>
        <v>30659151.242307696</v>
      </c>
      <c r="H88" s="266"/>
      <c r="I88" s="267" t="s">
        <v>132</v>
      </c>
      <c r="J88" s="268">
        <f>L257</f>
        <v>0.11936202903264627</v>
      </c>
      <c r="K88" s="253"/>
      <c r="L88" s="1189">
        <f t="shared" si="3"/>
        <v>3659538.5007006242</v>
      </c>
      <c r="M88" s="253"/>
      <c r="N88" s="253"/>
    </row>
    <row r="89" spans="2:14">
      <c r="B89" s="254" t="s">
        <v>1454</v>
      </c>
      <c r="C89" s="307"/>
      <c r="D89" s="250" t="s">
        <v>1424</v>
      </c>
      <c r="E89" s="253" t="str">
        <f>"(Worksheet A ln "&amp;'WS A - RB Support'!A42&amp;"."&amp;'WS A - RB Support'!L27&amp;")"</f>
        <v>(Worksheet A ln 28.(k))</v>
      </c>
      <c r="F89" s="253"/>
      <c r="G89" s="266">
        <f>'WS A - RB Support'!L42</f>
        <v>120330.89384615376</v>
      </c>
      <c r="H89" s="266"/>
      <c r="I89" s="267" t="s">
        <v>1438</v>
      </c>
      <c r="J89" s="268">
        <f>L246</f>
        <v>0</v>
      </c>
      <c r="K89" s="253"/>
      <c r="L89" s="1189">
        <f t="shared" si="3"/>
        <v>0</v>
      </c>
      <c r="M89" s="253"/>
      <c r="N89" s="253"/>
    </row>
    <row r="90" spans="2:14" ht="15.75" thickBot="1">
      <c r="B90" s="254" t="s">
        <v>1455</v>
      </c>
      <c r="C90" s="307"/>
      <c r="D90" s="250" t="s">
        <v>1426</v>
      </c>
      <c r="E90" s="253" t="str">
        <f>"(Worksheet A ln "&amp;'WS A - RB Support'!A42&amp;"."&amp;'WS A - RB Support'!M27&amp;")"</f>
        <v>(Worksheet A ln 28.(l))</v>
      </c>
      <c r="F90" s="253"/>
      <c r="G90" s="301">
        <f>'WS A - RB Support'!M42</f>
        <v>0</v>
      </c>
      <c r="H90" s="266"/>
      <c r="I90" s="267" t="s">
        <v>1438</v>
      </c>
      <c r="J90" s="268">
        <f>L246</f>
        <v>0</v>
      </c>
      <c r="K90" s="253"/>
      <c r="L90" s="354">
        <f t="shared" si="3"/>
        <v>0</v>
      </c>
      <c r="M90" s="253"/>
      <c r="N90" s="253"/>
    </row>
    <row r="91" spans="2:14">
      <c r="B91" s="254">
        <f>+B88+1</f>
        <v>39</v>
      </c>
      <c r="C91" s="307"/>
      <c r="D91" s="250" t="s">
        <v>46</v>
      </c>
      <c r="E91" s="808" t="str">
        <f>"(sum lns "&amp;B80&amp;" to "&amp;B88&amp;")"</f>
        <v>(sum lns 30 to 38)</v>
      </c>
      <c r="F91" s="485"/>
      <c r="G91" s="266">
        <f>SUM(G80:G90)</f>
        <v>6947171021.8038464</v>
      </c>
      <c r="H91" s="266"/>
      <c r="I91" s="267"/>
      <c r="J91" s="253"/>
      <c r="K91" s="266"/>
      <c r="L91" s="266">
        <f>SUM(L80:L90)</f>
        <v>1019994988.7880028</v>
      </c>
      <c r="M91" s="253"/>
      <c r="N91" s="253"/>
    </row>
    <row r="92" spans="2:14">
      <c r="B92" s="254"/>
      <c r="C92" s="255"/>
      <c r="E92" s="185"/>
      <c r="F92" s="485"/>
      <c r="G92" s="266"/>
      <c r="H92" s="266"/>
      <c r="I92" s="267"/>
      <c r="J92" s="308"/>
      <c r="K92" s="253"/>
      <c r="L92" s="266"/>
      <c r="M92" s="253"/>
      <c r="N92" s="253"/>
    </row>
    <row r="93" spans="2:14">
      <c r="B93" s="254">
        <f>+B91+1</f>
        <v>40</v>
      </c>
      <c r="C93" s="255"/>
      <c r="D93" s="250" t="s">
        <v>83</v>
      </c>
      <c r="E93" s="267"/>
      <c r="F93" s="267"/>
      <c r="G93" s="266"/>
      <c r="H93" s="266"/>
      <c r="I93" s="267"/>
      <c r="J93" s="253"/>
      <c r="K93" s="253"/>
      <c r="L93" s="266"/>
      <c r="M93" s="253"/>
      <c r="N93" s="253"/>
    </row>
    <row r="94" spans="2:14">
      <c r="B94" s="254">
        <f t="shared" ref="B94:B98" si="4">+B93+1</f>
        <v>41</v>
      </c>
      <c r="C94" s="307"/>
      <c r="D94" s="250" t="str">
        <f>+D80</f>
        <v xml:space="preserve">  Production</v>
      </c>
      <c r="E94" s="253" t="str">
        <f>" (ln "&amp;B66&amp;" + ln "&amp;B67&amp;" - ln "&amp;B80&amp;" - ln "&amp;B81&amp;")"</f>
        <v xml:space="preserve"> (ln 19 + ln 20 - ln 30 - ln 31)</v>
      </c>
      <c r="F94" s="253"/>
      <c r="G94" s="266">
        <f>G66+G67-G80-G81</f>
        <v>3457863252.2746148</v>
      </c>
      <c r="H94" s="266"/>
      <c r="I94" s="267"/>
      <c r="J94" s="309"/>
      <c r="K94" s="253"/>
      <c r="L94" s="266">
        <f>L66+L67-L80-L81</f>
        <v>0</v>
      </c>
      <c r="M94" s="253"/>
      <c r="N94" s="253"/>
    </row>
    <row r="95" spans="2:14">
      <c r="B95" s="254">
        <f t="shared" si="4"/>
        <v>42</v>
      </c>
      <c r="C95" s="307"/>
      <c r="D95" s="250" t="str">
        <f>+D82</f>
        <v xml:space="preserve">  Transmission</v>
      </c>
      <c r="E95" s="253" t="str">
        <f>" (ln "&amp;B68&amp;" + ln "&amp;B69&amp;" - ln "&amp;B82&amp;" - ln "&amp;B83&amp;")"</f>
        <v xml:space="preserve"> (ln 21 + ln 22 - ln 32 - ln 33)</v>
      </c>
      <c r="F95" s="253"/>
      <c r="G95" s="266">
        <f>+G68+G69-G82-G83</f>
        <v>4104136448.1300001</v>
      </c>
      <c r="H95" s="266"/>
      <c r="I95" s="267"/>
      <c r="J95" s="306"/>
      <c r="K95" s="253"/>
      <c r="L95" s="266">
        <f>+L68+L69-L82-L83</f>
        <v>4050500532.9261537</v>
      </c>
      <c r="M95" s="253"/>
      <c r="N95" s="253"/>
    </row>
    <row r="96" spans="2:14">
      <c r="B96" s="254">
        <f>+B95+1</f>
        <v>43</v>
      </c>
      <c r="C96" s="307"/>
      <c r="D96" s="250" t="str">
        <f>+D84</f>
        <v xml:space="preserve">  Distribution</v>
      </c>
      <c r="E96" s="253" t="str">
        <f>" (ln "&amp;B70&amp;" + ln "&amp;B71&amp;" - ln "&amp;B84&amp;" - ln "&amp;B85&amp;")"</f>
        <v xml:space="preserve"> (ln 23 + ln 24 - ln 34 - ln 35)</v>
      </c>
      <c r="F96" s="253"/>
      <c r="G96" s="266">
        <f>+G70+G71-G84-G85</f>
        <v>3852360002.4830775</v>
      </c>
      <c r="H96" s="266"/>
      <c r="I96" s="267"/>
      <c r="J96" s="308"/>
      <c r="K96" s="253"/>
      <c r="L96" s="266">
        <f>+L70+L71-L84-L85</f>
        <v>0</v>
      </c>
      <c r="M96" s="253"/>
      <c r="N96" s="253"/>
    </row>
    <row r="97" spans="2:14">
      <c r="B97" s="254">
        <f t="shared" si="4"/>
        <v>44</v>
      </c>
      <c r="C97" s="307"/>
      <c r="D97" s="250" t="str">
        <f>+D86</f>
        <v xml:space="preserve">  General Plant   </v>
      </c>
      <c r="E97" s="253" t="str">
        <f>" (ln "&amp;B72&amp;" + ln "&amp;B73&amp;" - ln "&amp;B86&amp;" - ln "&amp;B87&amp;")"</f>
        <v xml:space="preserve"> (ln 25 + ln 26 - ln 36 - ln 37)</v>
      </c>
      <c r="F97" s="253"/>
      <c r="G97" s="266">
        <f>+G72+G73-G86-G87</f>
        <v>626374919.99230742</v>
      </c>
      <c r="H97" s="266"/>
      <c r="I97" s="267"/>
      <c r="J97" s="308"/>
      <c r="K97" s="253"/>
      <c r="L97" s="266">
        <f>+L72+L73-L86-L87</f>
        <v>74765381.38544327</v>
      </c>
      <c r="M97" s="253"/>
      <c r="N97" s="253"/>
    </row>
    <row r="98" spans="2:14">
      <c r="B98" s="254">
        <f t="shared" si="4"/>
        <v>45</v>
      </c>
      <c r="C98" s="307"/>
      <c r="D98" s="250" t="str">
        <f>+D88</f>
        <v xml:space="preserve">  Intangible Plant</v>
      </c>
      <c r="E98" s="253" t="str">
        <f>" (ln "&amp;B74&amp;" - ln "&amp;B88&amp;")"</f>
        <v xml:space="preserve"> (ln 27 - ln 38)</v>
      </c>
      <c r="F98" s="253"/>
      <c r="G98" s="266">
        <f>+G74-G88</f>
        <v>10382877.034615371</v>
      </c>
      <c r="H98" s="266"/>
      <c r="I98" s="267"/>
      <c r="J98" s="308"/>
      <c r="K98" s="253"/>
      <c r="L98" s="266">
        <f>+L74-L88</f>
        <v>1239321.2700481559</v>
      </c>
      <c r="M98" s="253"/>
      <c r="N98" s="253"/>
    </row>
    <row r="99" spans="2:14" ht="15.75" thickBot="1">
      <c r="B99" s="254" t="s">
        <v>1456</v>
      </c>
      <c r="C99" s="307"/>
      <c r="D99" s="250" t="s">
        <v>1424</v>
      </c>
      <c r="E99" s="253" t="str">
        <f>" (ln "&amp;B75&amp;" + ln "&amp;B76&amp;" - ln "&amp;B89&amp;" - ln "&amp;B90&amp;")"</f>
        <v xml:space="preserve"> (ln 27a + ln 27b - ln 38a - ln 38b)</v>
      </c>
      <c r="F99" s="253"/>
      <c r="G99" s="301">
        <f>+G75+G76-G89-G90</f>
        <v>5165437.2292307671</v>
      </c>
      <c r="H99" s="266"/>
      <c r="I99" s="267"/>
      <c r="J99" s="308"/>
      <c r="K99" s="253"/>
      <c r="L99" s="301">
        <f>L75+L76-L89-L90</f>
        <v>0</v>
      </c>
      <c r="M99" s="253"/>
      <c r="N99" s="253"/>
    </row>
    <row r="100" spans="2:14" ht="15.75">
      <c r="B100" s="254">
        <f>+B98+1</f>
        <v>46</v>
      </c>
      <c r="C100" s="307"/>
      <c r="D100" s="250" t="s">
        <v>45</v>
      </c>
      <c r="E100" s="250" t="str">
        <f>"(sum lns "&amp;B94&amp;" to "&amp;B98&amp;")"</f>
        <v>(sum lns 41 to 45)</v>
      </c>
      <c r="F100" s="253"/>
      <c r="G100" s="266">
        <f>SUM(G94:G99)</f>
        <v>12056282937.143847</v>
      </c>
      <c r="H100" s="266"/>
      <c r="I100" s="289" t="s">
        <v>755</v>
      </c>
      <c r="J100" s="302">
        <f>+L100/G100</f>
        <v>0.34227010572789535</v>
      </c>
      <c r="K100" s="253"/>
      <c r="L100" s="266">
        <f>SUM(L94:L99)</f>
        <v>4126505235.581645</v>
      </c>
      <c r="M100" s="253"/>
      <c r="N100" s="253"/>
    </row>
    <row r="101" spans="2:14">
      <c r="B101" s="254"/>
      <c r="C101" s="255"/>
      <c r="D101" s="250"/>
      <c r="E101" s="253"/>
      <c r="F101" s="253"/>
      <c r="G101" s="266"/>
      <c r="H101" s="266"/>
      <c r="I101" s="317"/>
      <c r="J101" s="311"/>
      <c r="K101" s="253"/>
      <c r="L101" s="266"/>
      <c r="M101" s="253"/>
      <c r="N101" s="253"/>
    </row>
    <row r="102" spans="2:14">
      <c r="B102" s="254"/>
      <c r="C102" s="255"/>
      <c r="G102" s="4"/>
      <c r="H102" s="4"/>
      <c r="I102" s="78"/>
      <c r="J102" s="4"/>
      <c r="K102" s="4"/>
      <c r="L102" s="4"/>
      <c r="M102"/>
      <c r="N102" s="253"/>
    </row>
    <row r="103" spans="2:14">
      <c r="B103" s="254">
        <f>+B100+1</f>
        <v>47</v>
      </c>
      <c r="C103" s="255"/>
      <c r="D103" s="250" t="s">
        <v>326</v>
      </c>
      <c r="E103" s="253" t="s">
        <v>303</v>
      </c>
      <c r="F103" s="267"/>
      <c r="G103" s="4"/>
      <c r="H103" s="4"/>
      <c r="I103" s="78"/>
      <c r="J103" s="4"/>
      <c r="K103" s="4"/>
      <c r="L103" s="4"/>
      <c r="M103"/>
      <c r="N103" s="253"/>
    </row>
    <row r="104" spans="2:14">
      <c r="B104" s="254">
        <f t="shared" ref="B104:B109" si="5">+B103+1</f>
        <v>48</v>
      </c>
      <c r="C104" s="307"/>
      <c r="D104" s="250" t="s">
        <v>193</v>
      </c>
      <c r="E104" s="253" t="s">
        <v>536</v>
      </c>
      <c r="F104" s="253"/>
      <c r="G104" s="266">
        <f>-'WS B ADIT &amp; ITC'!I17</f>
        <v>-188484268.61500001</v>
      </c>
      <c r="H104" s="266"/>
      <c r="I104" s="267" t="s">
        <v>127</v>
      </c>
      <c r="J104" s="268"/>
      <c r="K104" s="253"/>
      <c r="L104" s="266">
        <f>'WS B ADIT &amp; ITC'!I20</f>
        <v>0</v>
      </c>
      <c r="M104" s="253"/>
      <c r="N104" s="253"/>
    </row>
    <row r="105" spans="2:14">
      <c r="B105" s="254">
        <f t="shared" si="5"/>
        <v>49</v>
      </c>
      <c r="C105" s="307"/>
      <c r="D105" s="250" t="s">
        <v>194</v>
      </c>
      <c r="E105" s="253" t="s">
        <v>537</v>
      </c>
      <c r="F105" s="253"/>
      <c r="G105" s="266">
        <f>-'WS B ADIT &amp; ITC'!I25</f>
        <v>-1865702674.355</v>
      </c>
      <c r="H105" s="266"/>
      <c r="I105" s="267" t="s">
        <v>129</v>
      </c>
      <c r="J105" s="268"/>
      <c r="K105" s="253"/>
      <c r="L105" s="266">
        <f>-'WS B ADIT &amp; ITC'!I28</f>
        <v>-627300276.01688886</v>
      </c>
      <c r="M105" s="253"/>
      <c r="N105" s="253"/>
    </row>
    <row r="106" spans="2:14">
      <c r="B106" s="254">
        <f t="shared" si="5"/>
        <v>50</v>
      </c>
      <c r="C106" s="307"/>
      <c r="D106" s="250" t="s">
        <v>195</v>
      </c>
      <c r="E106" s="253" t="s">
        <v>538</v>
      </c>
      <c r="F106" s="253"/>
      <c r="G106" s="266">
        <f>-'WS B ADIT &amp; ITC'!I33</f>
        <v>-445516492.93499994</v>
      </c>
      <c r="H106" s="266"/>
      <c r="I106" s="267" t="s">
        <v>129</v>
      </c>
      <c r="J106" s="268"/>
      <c r="K106" s="253"/>
      <c r="L106" s="266">
        <f>-'WS B ADIT &amp; ITC'!I36</f>
        <v>-39381965.159999967</v>
      </c>
      <c r="M106" s="253"/>
      <c r="N106" s="253"/>
    </row>
    <row r="107" spans="2:14">
      <c r="B107" s="254">
        <f t="shared" si="5"/>
        <v>51</v>
      </c>
      <c r="C107" s="307"/>
      <c r="D107" s="250" t="s">
        <v>196</v>
      </c>
      <c r="E107" s="253" t="s">
        <v>539</v>
      </c>
      <c r="F107" s="253"/>
      <c r="G107" s="266">
        <f>'WS B ADIT &amp; ITC'!I41</f>
        <v>227924506.34500003</v>
      </c>
      <c r="H107" s="266"/>
      <c r="I107" s="267" t="s">
        <v>129</v>
      </c>
      <c r="J107" s="268"/>
      <c r="K107" s="253"/>
      <c r="L107" s="266">
        <f>'WS B ADIT &amp; ITC'!I44</f>
        <v>18167557.445000008</v>
      </c>
      <c r="M107" s="253"/>
      <c r="N107" s="253"/>
    </row>
    <row r="108" spans="2:14" ht="15.75" thickBot="1">
      <c r="B108" s="254">
        <f t="shared" si="5"/>
        <v>52</v>
      </c>
      <c r="C108" s="307"/>
      <c r="D108" s="246" t="s">
        <v>134</v>
      </c>
      <c r="E108" s="253" t="s">
        <v>540</v>
      </c>
      <c r="G108" s="301">
        <f>-'WS B ADIT &amp; ITC'!I51</f>
        <v>-307</v>
      </c>
      <c r="H108" s="266"/>
      <c r="I108" s="267" t="s">
        <v>129</v>
      </c>
      <c r="J108" s="268"/>
      <c r="K108" s="253"/>
      <c r="L108" s="301">
        <f>-'WS B ADIT &amp; ITC'!I52</f>
        <v>-268126.5</v>
      </c>
      <c r="M108" s="312"/>
      <c r="N108" s="253"/>
    </row>
    <row r="109" spans="2:14">
      <c r="B109" s="254">
        <f t="shared" si="5"/>
        <v>53</v>
      </c>
      <c r="C109" s="307"/>
      <c r="D109" s="250" t="s">
        <v>92</v>
      </c>
      <c r="E109" s="250" t="str">
        <f>"(sum lns "&amp;B104&amp;" to "&amp;B108&amp;")"</f>
        <v>(sum lns 48 to 52)</v>
      </c>
      <c r="F109" s="253"/>
      <c r="G109" s="266">
        <f>SUM(G104:G108)</f>
        <v>-2271779236.5599995</v>
      </c>
      <c r="H109" s="4"/>
      <c r="I109" s="267"/>
      <c r="J109" s="313"/>
      <c r="K109" s="253"/>
      <c r="L109" s="266">
        <f>SUM(L104:L108)</f>
        <v>-648782810.23188877</v>
      </c>
      <c r="M109" s="253"/>
    </row>
    <row r="110" spans="2:14">
      <c r="B110" s="254"/>
      <c r="C110" s="255"/>
      <c r="D110" s="250"/>
      <c r="E110" s="253"/>
      <c r="F110" s="253"/>
      <c r="G110" s="266"/>
      <c r="H110" s="4"/>
      <c r="I110" s="267"/>
      <c r="J110" s="308"/>
      <c r="K110" s="253"/>
      <c r="L110" s="266"/>
      <c r="M110" s="253"/>
    </row>
    <row r="111" spans="2:14">
      <c r="B111" s="254">
        <f>+B109+1</f>
        <v>54</v>
      </c>
      <c r="C111" s="255"/>
      <c r="D111" s="250" t="s">
        <v>205</v>
      </c>
      <c r="E111" s="253" t="str">
        <f>"(Worksheet A ln "&amp;'WS A - RB Support'!A69&amp;"."&amp;'WS A - RB Support'!F68&amp;" &amp; "&amp;"ln "&amp;'WS A - RB Support'!A71&amp;"."&amp;'WS A - RB Support'!F68&amp;")"</f>
        <v>(Worksheet A ln 44.(e) &amp; ln 45.(e))</v>
      </c>
      <c r="F111" s="253"/>
      <c r="G111" s="266">
        <f>'WS A - RB Support'!F69</f>
        <v>3374771.67</v>
      </c>
      <c r="H111" s="4"/>
      <c r="I111" s="267" t="s">
        <v>129</v>
      </c>
      <c r="J111" s="268"/>
      <c r="K111" s="253"/>
      <c r="L111" s="266">
        <f>'WS A - RB Support'!F71</f>
        <v>1573244.76</v>
      </c>
      <c r="M111" s="253"/>
    </row>
    <row r="112" spans="2:14">
      <c r="B112" s="254"/>
      <c r="C112" s="255"/>
      <c r="D112" s="250"/>
      <c r="E112" s="253"/>
      <c r="F112" s="253"/>
      <c r="G112" s="266"/>
      <c r="H112" s="4"/>
      <c r="I112" s="267"/>
      <c r="J112" s="268"/>
      <c r="K112" s="253"/>
      <c r="L112" s="266"/>
      <c r="M112" s="253"/>
    </row>
    <row r="113" spans="2:13">
      <c r="B113" s="254">
        <f>+B111+1</f>
        <v>55</v>
      </c>
      <c r="C113" s="255"/>
      <c r="D113" s="250" t="s">
        <v>327</v>
      </c>
      <c r="E113" s="253" t="str">
        <f>"(Worksheet A ln "&amp;'WS A - RB Support'!A80&amp;"."&amp;'WS A - RB Support'!F68&amp;")"</f>
        <v>(Worksheet A ln 51.(e))</v>
      </c>
      <c r="F113" s="253"/>
      <c r="G113" s="266">
        <f>'WS A - RB Support'!F80</f>
        <v>0</v>
      </c>
      <c r="H113" s="4"/>
      <c r="I113" s="267" t="s">
        <v>129</v>
      </c>
      <c r="J113" s="253"/>
      <c r="K113" s="253"/>
      <c r="L113" s="266">
        <f>+G113</f>
        <v>0</v>
      </c>
      <c r="M113" s="253"/>
    </row>
    <row r="114" spans="2:13">
      <c r="B114" s="254"/>
      <c r="C114" s="255"/>
      <c r="D114" s="250"/>
      <c r="E114" s="253"/>
      <c r="F114" s="253"/>
      <c r="G114" s="266"/>
      <c r="H114" s="4"/>
      <c r="I114" s="267"/>
      <c r="J114" s="253"/>
      <c r="K114" s="253"/>
      <c r="L114" s="266"/>
      <c r="M114" s="253"/>
    </row>
    <row r="115" spans="2:13" ht="14.25" customHeight="1">
      <c r="B115" s="254">
        <f>+B113+1</f>
        <v>56</v>
      </c>
      <c r="C115" s="307"/>
      <c r="D115" s="262" t="s">
        <v>743</v>
      </c>
      <c r="E115" s="253" t="str">
        <f>"(Worksheet A ln "&amp;'WS A - RB Support'!A88&amp;"."&amp;'WS A - RB Support'!F68&amp;")"</f>
        <v>(Worksheet A ln 54.(e))</v>
      </c>
      <c r="F115" s="253"/>
      <c r="G115" s="266">
        <f>-'WS A - RB Support'!F88</f>
        <v>-3047000.64</v>
      </c>
      <c r="H115" s="266"/>
      <c r="I115" s="267" t="s">
        <v>132</v>
      </c>
      <c r="J115" s="268">
        <f>L257</f>
        <v>0.11936202903264627</v>
      </c>
      <c r="K115" s="253"/>
      <c r="L115" s="266">
        <f>G115*J115</f>
        <v>-363696.17885417177</v>
      </c>
      <c r="M115" s="253"/>
    </row>
    <row r="116" spans="2:13">
      <c r="B116" s="254"/>
      <c r="C116" s="255"/>
      <c r="D116" s="250"/>
      <c r="E116" s="253"/>
      <c r="F116" s="253"/>
      <c r="G116" s="266"/>
      <c r="H116" s="4"/>
      <c r="I116" s="267"/>
      <c r="J116" s="253"/>
      <c r="K116" s="253"/>
      <c r="L116" s="266"/>
      <c r="M116" s="253"/>
    </row>
    <row r="117" spans="2:13">
      <c r="B117" s="254">
        <f>+B115+1</f>
        <v>57</v>
      </c>
      <c r="C117" s="255"/>
      <c r="D117" s="250" t="s">
        <v>93</v>
      </c>
      <c r="E117" s="253" t="s">
        <v>498</v>
      </c>
      <c r="F117" s="253"/>
      <c r="G117" s="266"/>
      <c r="H117" s="4"/>
      <c r="I117" s="267"/>
      <c r="J117" s="253"/>
      <c r="K117" s="253"/>
      <c r="L117" s="266"/>
      <c r="M117" s="253"/>
    </row>
    <row r="118" spans="2:13">
      <c r="B118" s="254">
        <f t="shared" ref="B118:B126" si="6">+B117+1</f>
        <v>58</v>
      </c>
      <c r="C118" s="307"/>
      <c r="D118" s="250" t="s">
        <v>204</v>
      </c>
      <c r="E118" s="246" t="str">
        <f>"(1/8 * ln "&amp;B155&amp;")"</f>
        <v>(1/8 * ln 78)</v>
      </c>
      <c r="G118" s="266">
        <f>+G155/8</f>
        <v>7977196.3699999852</v>
      </c>
      <c r="H118" s="253"/>
      <c r="I118" s="267"/>
      <c r="J118" s="308"/>
      <c r="K118" s="253"/>
      <c r="L118" s="266">
        <f>+L155/8</f>
        <v>7847897.6518887552</v>
      </c>
      <c r="M118" s="250"/>
    </row>
    <row r="119" spans="2:13">
      <c r="B119" s="254">
        <f t="shared" si="6"/>
        <v>59</v>
      </c>
      <c r="C119" s="307"/>
      <c r="D119" s="250" t="s">
        <v>335</v>
      </c>
      <c r="E119" s="253" t="s">
        <v>541</v>
      </c>
      <c r="F119" s="253"/>
      <c r="G119" s="266">
        <f>'WS C  - Working Capital'!I17</f>
        <v>199770</v>
      </c>
      <c r="H119" s="4"/>
      <c r="I119" s="267" t="s">
        <v>120</v>
      </c>
      <c r="J119" s="268">
        <f>L239</f>
        <v>0.98379145853830474</v>
      </c>
      <c r="K119" s="253"/>
      <c r="L119" s="266">
        <f>+J119*G119</f>
        <v>196532.01967219714</v>
      </c>
      <c r="M119" s="253"/>
    </row>
    <row r="120" spans="2:13">
      <c r="B120" s="254" t="s">
        <v>1457</v>
      </c>
      <c r="C120" s="307"/>
      <c r="D120" s="250" t="s">
        <v>1458</v>
      </c>
      <c r="E120" s="253" t="s">
        <v>1459</v>
      </c>
      <c r="F120" s="253"/>
      <c r="G120" s="266">
        <f>'WS C  - Working Capital'!I19</f>
        <v>0</v>
      </c>
      <c r="H120" s="198"/>
      <c r="I120" s="267" t="s">
        <v>1438</v>
      </c>
      <c r="J120" s="268">
        <f>L246</f>
        <v>0</v>
      </c>
      <c r="K120" s="253"/>
      <c r="L120" s="266">
        <f>+J120*G120</f>
        <v>0</v>
      </c>
      <c r="M120" s="253"/>
    </row>
    <row r="121" spans="2:13">
      <c r="B121" s="254">
        <f>+B119+1</f>
        <v>60</v>
      </c>
      <c r="C121" s="307"/>
      <c r="D121" s="250" t="s">
        <v>336</v>
      </c>
      <c r="E121" s="253" t="s">
        <v>542</v>
      </c>
      <c r="F121" s="253"/>
      <c r="G121" s="266">
        <f>'WS C  - Working Capital'!I21</f>
        <v>384052.5</v>
      </c>
      <c r="H121" s="4"/>
      <c r="I121" s="267" t="s">
        <v>132</v>
      </c>
      <c r="J121" s="268">
        <f>L257</f>
        <v>0.11936202903264627</v>
      </c>
      <c r="K121" s="253"/>
      <c r="L121" s="266">
        <f>+J121*G121</f>
        <v>45841.285655060383</v>
      </c>
      <c r="M121" s="253"/>
    </row>
    <row r="122" spans="2:13">
      <c r="B122" s="254">
        <f t="shared" si="6"/>
        <v>61</v>
      </c>
      <c r="C122" s="307"/>
      <c r="D122" s="250" t="s">
        <v>529</v>
      </c>
      <c r="E122" s="253" t="s">
        <v>543</v>
      </c>
      <c r="F122" s="253"/>
      <c r="G122" s="266">
        <f>'WS C  - Working Capital'!I23</f>
        <v>0</v>
      </c>
      <c r="H122" s="4"/>
      <c r="I122" s="267" t="s">
        <v>754</v>
      </c>
      <c r="J122" s="268">
        <f>J77</f>
        <v>0.2708192013666253</v>
      </c>
      <c r="K122" s="253"/>
      <c r="L122" s="266">
        <f>+J122*G122</f>
        <v>0</v>
      </c>
      <c r="M122" s="253"/>
    </row>
    <row r="123" spans="2:13">
      <c r="B123" s="254">
        <f t="shared" si="6"/>
        <v>62</v>
      </c>
      <c r="C123" s="307"/>
      <c r="D123" s="250" t="s">
        <v>208</v>
      </c>
      <c r="E123" s="253" t="s">
        <v>572</v>
      </c>
      <c r="F123" s="253"/>
      <c r="G123" s="266">
        <f>'WS C  - Working Capital'!J33</f>
        <v>312745824.63699996</v>
      </c>
      <c r="H123" s="4"/>
      <c r="I123" s="267" t="s">
        <v>132</v>
      </c>
      <c r="J123" s="268">
        <f>L257</f>
        <v>0.11936202903264627</v>
      </c>
      <c r="K123" s="253"/>
      <c r="L123" s="266">
        <f>+J123*G123</f>
        <v>37329976.200160488</v>
      </c>
      <c r="M123" s="253"/>
    </row>
    <row r="124" spans="2:13">
      <c r="B124" s="254">
        <f t="shared" si="6"/>
        <v>63</v>
      </c>
      <c r="C124" s="307"/>
      <c r="D124" s="250" t="s">
        <v>209</v>
      </c>
      <c r="E124" s="253" t="s">
        <v>571</v>
      </c>
      <c r="F124" s="253"/>
      <c r="G124" s="266">
        <f>'WS C  - Working Capital'!I33</f>
        <v>6886285.0789999999</v>
      </c>
      <c r="H124" s="4"/>
      <c r="I124" s="267" t="s">
        <v>754</v>
      </c>
      <c r="J124" s="268">
        <f>J77</f>
        <v>0.2708192013666253</v>
      </c>
      <c r="K124" s="253"/>
      <c r="L124" s="266">
        <f>+G124*J124</f>
        <v>1864938.2254776882</v>
      </c>
      <c r="M124" s="253"/>
    </row>
    <row r="125" spans="2:13">
      <c r="B125" s="254">
        <f t="shared" si="6"/>
        <v>64</v>
      </c>
      <c r="C125" s="307"/>
      <c r="D125" s="250" t="s">
        <v>305</v>
      </c>
      <c r="E125" s="253" t="s">
        <v>573</v>
      </c>
      <c r="F125" s="253"/>
      <c r="G125" s="266">
        <f>'WS C  - Working Capital'!G33</f>
        <v>0</v>
      </c>
      <c r="H125" s="4"/>
      <c r="I125" s="267" t="s">
        <v>129</v>
      </c>
      <c r="J125" s="268">
        <v>1</v>
      </c>
      <c r="K125" s="253"/>
      <c r="L125" s="266">
        <f>+G125*J125</f>
        <v>0</v>
      </c>
      <c r="M125" s="253"/>
    </row>
    <row r="126" spans="2:13" ht="15.75" thickBot="1">
      <c r="B126" s="254">
        <f t="shared" si="6"/>
        <v>65</v>
      </c>
      <c r="C126" s="307"/>
      <c r="D126" s="250" t="s">
        <v>105</v>
      </c>
      <c r="E126" s="253" t="s">
        <v>574</v>
      </c>
      <c r="F126" s="253"/>
      <c r="G126" s="301">
        <f>'WS C  - Working Capital'!E33</f>
        <v>-273123905.26499999</v>
      </c>
      <c r="H126" s="266"/>
      <c r="I126" s="267" t="s">
        <v>127</v>
      </c>
      <c r="J126" s="268">
        <v>0</v>
      </c>
      <c r="K126" s="253"/>
      <c r="L126" s="301">
        <f>+G126*J126</f>
        <v>0</v>
      </c>
      <c r="M126" s="253"/>
    </row>
    <row r="127" spans="2:13">
      <c r="B127" s="254">
        <f>+B126+1</f>
        <v>66</v>
      </c>
      <c r="C127" s="307"/>
      <c r="D127" s="250" t="s">
        <v>44</v>
      </c>
      <c r="E127" s="250" t="str">
        <f>"(sum lns "&amp;B118&amp;" to "&amp;B126&amp;")"</f>
        <v>(sum lns 58 to 65)</v>
      </c>
      <c r="F127" s="250"/>
      <c r="G127" s="266">
        <f>SUM(G118:G126)</f>
        <v>55069223.32099998</v>
      </c>
      <c r="H127" s="250"/>
      <c r="I127" s="255"/>
      <c r="J127" s="250"/>
      <c r="K127" s="250"/>
      <c r="L127" s="266">
        <f>SUM(L118:L126)</f>
        <v>47285185.382854186</v>
      </c>
      <c r="M127" s="250"/>
    </row>
    <row r="128" spans="2:13">
      <c r="B128" s="254"/>
      <c r="C128" s="255"/>
      <c r="D128" s="250"/>
      <c r="E128" s="250"/>
      <c r="F128" s="250"/>
      <c r="G128" s="266"/>
      <c r="H128" s="250"/>
      <c r="I128" s="255"/>
      <c r="J128" s="250"/>
      <c r="K128" s="250"/>
      <c r="L128" s="266"/>
      <c r="M128" s="250"/>
    </row>
    <row r="129" spans="2:14">
      <c r="B129" s="254">
        <f>+B127+1</f>
        <v>67</v>
      </c>
      <c r="C129" s="255"/>
      <c r="D129" s="250" t="s">
        <v>31</v>
      </c>
      <c r="E129" s="250" t="s">
        <v>544</v>
      </c>
      <c r="F129" s="250"/>
      <c r="G129" s="266">
        <f>'WS D IPP Credits'!C23</f>
        <v>0</v>
      </c>
      <c r="H129" s="250"/>
      <c r="I129" s="314" t="s">
        <v>129</v>
      </c>
      <c r="J129" s="268">
        <v>1</v>
      </c>
      <c r="K129" s="253"/>
      <c r="L129" s="266">
        <f>+J129*G129</f>
        <v>0</v>
      </c>
      <c r="M129" s="250"/>
    </row>
    <row r="130" spans="2:14" ht="15.75" thickBot="1">
      <c r="B130" s="254"/>
      <c r="E130" s="253"/>
      <c r="F130" s="253"/>
      <c r="G130" s="301"/>
      <c r="H130" s="253"/>
      <c r="I130" s="267"/>
      <c r="J130" s="253"/>
      <c r="K130" s="253"/>
      <c r="L130" s="301"/>
      <c r="M130" s="253"/>
    </row>
    <row r="131" spans="2:14" ht="15.75" thickBot="1">
      <c r="B131" s="254">
        <f>+B129+1</f>
        <v>68</v>
      </c>
      <c r="C131" s="255"/>
      <c r="D131" s="250" t="str">
        <f>"RATE BASE  (sum lns "&amp;B100&amp;", "&amp;B109&amp;", "&amp;B111&amp;", "&amp;B113&amp;", "&amp;B115&amp;", "&amp;B127&amp;", "&amp;B129&amp;")"</f>
        <v>RATE BASE  (sum lns 46, 53, 54, 55, 56, 66, 67)</v>
      </c>
      <c r="E131" s="253"/>
      <c r="F131" s="253"/>
      <c r="G131" s="823">
        <f>+G127+G111+G109+G100+G129+G113+G115</f>
        <v>9839900694.9348488</v>
      </c>
      <c r="H131" s="253"/>
      <c r="I131" s="253"/>
      <c r="J131" s="308"/>
      <c r="K131" s="253"/>
      <c r="L131" s="823">
        <f>+L127+L111+L109+L100+L129+L113+L115</f>
        <v>3526217159.3137565</v>
      </c>
      <c r="M131" s="253"/>
    </row>
    <row r="132" spans="2:14" ht="16.5" thickTop="1">
      <c r="B132" s="254"/>
      <c r="C132" s="68"/>
      <c r="D132" s="68"/>
      <c r="E132" s="68"/>
      <c r="F132" s="68"/>
      <c r="G132" s="68"/>
      <c r="H132" s="68"/>
      <c r="I132" s="249"/>
      <c r="J132" s="249"/>
      <c r="K132" s="249"/>
      <c r="L132" s="795"/>
    </row>
    <row r="133" spans="2:14">
      <c r="B133" s="315"/>
      <c r="C133" s="255"/>
      <c r="D133" s="250"/>
      <c r="E133" s="253"/>
      <c r="F133" s="253"/>
      <c r="G133" s="253"/>
      <c r="H133" s="253"/>
      <c r="I133" s="253"/>
      <c r="J133" s="253"/>
      <c r="K133" s="253"/>
      <c r="L133" s="253"/>
      <c r="M133" s="253"/>
    </row>
    <row r="134" spans="2:14">
      <c r="B134" s="315"/>
      <c r="C134" s="255"/>
      <c r="D134" s="250"/>
      <c r="E134" s="253"/>
      <c r="F134" s="267" t="str">
        <f>F54</f>
        <v xml:space="preserve">AEP East Companies </v>
      </c>
      <c r="G134" s="267"/>
      <c r="H134" s="253"/>
      <c r="I134" s="253"/>
      <c r="J134" s="253"/>
      <c r="K134" s="253"/>
      <c r="L134" s="253"/>
      <c r="M134" s="316"/>
    </row>
    <row r="135" spans="2:14">
      <c r="B135" s="315"/>
      <c r="C135" s="255"/>
      <c r="D135" s="250"/>
      <c r="E135" s="253"/>
      <c r="F135" s="267" t="str">
        <f>F55</f>
        <v>Transmission Cost of Service Formula Rate</v>
      </c>
      <c r="G135" s="267"/>
      <c r="H135" s="253"/>
      <c r="I135" s="253"/>
      <c r="J135" s="253"/>
      <c r="K135" s="253"/>
      <c r="L135" s="253"/>
      <c r="M135" s="316"/>
    </row>
    <row r="136" spans="2:14">
      <c r="B136" s="315"/>
      <c r="C136" s="255"/>
      <c r="E136" s="253"/>
      <c r="F136" s="267" t="str">
        <f>F56</f>
        <v>Utilizing  Actual/Projected FERC Form 1 Data</v>
      </c>
      <c r="G136" s="253"/>
      <c r="H136" s="253"/>
      <c r="I136" s="253"/>
      <c r="J136" s="253"/>
      <c r="K136" s="253"/>
      <c r="L136" s="253"/>
      <c r="M136" s="285"/>
    </row>
    <row r="137" spans="2:14">
      <c r="B137" s="315"/>
      <c r="C137" s="255"/>
      <c r="E137" s="253"/>
      <c r="F137" s="267"/>
      <c r="G137" s="253"/>
      <c r="H137" s="253"/>
      <c r="I137" s="253"/>
      <c r="J137" s="253"/>
      <c r="K137" s="253"/>
      <c r="L137" s="253"/>
      <c r="M137" s="253"/>
    </row>
    <row r="138" spans="2:14">
      <c r="B138" s="315"/>
      <c r="C138" s="255"/>
      <c r="E138" s="317"/>
      <c r="F138" s="267" t="str">
        <f>F58</f>
        <v>Appalachian Power Company</v>
      </c>
      <c r="G138" s="317"/>
      <c r="H138" s="317"/>
      <c r="I138" s="317"/>
      <c r="J138" s="317"/>
      <c r="K138" s="317"/>
      <c r="M138" s="253"/>
    </row>
    <row r="139" spans="2:14">
      <c r="B139" s="315"/>
      <c r="C139" s="255"/>
      <c r="E139" s="317"/>
      <c r="F139" s="267"/>
      <c r="G139" s="317"/>
      <c r="H139" s="317"/>
      <c r="I139" s="317"/>
      <c r="J139" s="317"/>
      <c r="K139" s="317"/>
      <c r="M139" s="253"/>
    </row>
    <row r="140" spans="2:14">
      <c r="B140" s="315"/>
      <c r="D140" s="255" t="s">
        <v>121</v>
      </c>
      <c r="E140" s="255" t="s">
        <v>122</v>
      </c>
      <c r="F140" s="255"/>
      <c r="G140" s="255" t="s">
        <v>123</v>
      </c>
      <c r="H140" s="253"/>
      <c r="I140" s="1238" t="s">
        <v>124</v>
      </c>
      <c r="J140" s="1242"/>
      <c r="K140" s="253"/>
      <c r="L140" s="256" t="s">
        <v>125</v>
      </c>
      <c r="M140" s="253"/>
    </row>
    <row r="141" spans="2:14" ht="15.75">
      <c r="B141" s="315"/>
      <c r="D141" s="255"/>
      <c r="E141" s="255"/>
      <c r="F141" s="255"/>
      <c r="G141" s="255"/>
      <c r="H141" s="253"/>
      <c r="I141" s="253"/>
      <c r="J141" s="287"/>
      <c r="K141" s="253"/>
      <c r="M141" s="253"/>
      <c r="N141" s="249"/>
    </row>
    <row r="142" spans="2:14" ht="15.75">
      <c r="B142" s="315"/>
      <c r="C142" s="255"/>
      <c r="D142" s="318" t="s">
        <v>101</v>
      </c>
      <c r="E142" s="289" t="str">
        <f>E62</f>
        <v>Data Sources</v>
      </c>
      <c r="F142" s="290"/>
      <c r="G142" s="253"/>
      <c r="H142" s="253"/>
      <c r="I142" s="253"/>
      <c r="J142" s="255"/>
      <c r="K142" s="253"/>
      <c r="L142" s="289" t="str">
        <f>L62</f>
        <v>Total</v>
      </c>
      <c r="N142" s="249"/>
    </row>
    <row r="143" spans="2:14" ht="15.75">
      <c r="B143" s="315"/>
      <c r="C143" s="255"/>
      <c r="D143" s="292" t="s">
        <v>102</v>
      </c>
      <c r="E143" s="319" t="str">
        <f>E63</f>
        <v>(See "General Notes")</v>
      </c>
      <c r="F143" s="253"/>
      <c r="G143" s="319" t="str">
        <f>G63</f>
        <v>TO Total</v>
      </c>
      <c r="H143" s="294"/>
      <c r="I143" s="1240" t="str">
        <f>I63</f>
        <v>Allocator</v>
      </c>
      <c r="J143" s="1241"/>
      <c r="K143" s="294"/>
      <c r="L143" s="319" t="str">
        <f>L63</f>
        <v>Transmission</v>
      </c>
      <c r="M143" s="253"/>
      <c r="N143" s="249"/>
    </row>
    <row r="144" spans="2:14" ht="15.75">
      <c r="B144" s="254" t="str">
        <f>B64</f>
        <v>Line</v>
      </c>
      <c r="D144" s="250"/>
      <c r="E144" s="253"/>
      <c r="F144" s="253"/>
      <c r="G144" s="292"/>
      <c r="H144" s="320"/>
      <c r="I144" s="318"/>
      <c r="K144" s="320"/>
      <c r="L144" s="292"/>
      <c r="M144" s="253"/>
    </row>
    <row r="145" spans="2:14">
      <c r="B145" s="254" t="str">
        <f>B65</f>
        <v>No.</v>
      </c>
      <c r="C145" s="255"/>
      <c r="D145" s="250" t="s">
        <v>103</v>
      </c>
      <c r="E145" s="253"/>
      <c r="F145" s="253"/>
      <c r="G145" s="253"/>
      <c r="H145" s="253"/>
      <c r="I145" s="267"/>
      <c r="J145" s="253"/>
      <c r="K145" s="253"/>
      <c r="L145" s="253"/>
      <c r="M145" s="253"/>
    </row>
    <row r="146" spans="2:14">
      <c r="B146" s="254">
        <f>+B131+1</f>
        <v>69</v>
      </c>
      <c r="C146" s="255"/>
      <c r="D146" s="250" t="s">
        <v>126</v>
      </c>
      <c r="E146" s="253" t="s">
        <v>10</v>
      </c>
      <c r="F146" s="253"/>
      <c r="G146" s="613">
        <v>1644169548</v>
      </c>
      <c r="H146" s="253"/>
      <c r="I146" s="267"/>
      <c r="J146" s="268"/>
      <c r="K146" s="253"/>
      <c r="L146" s="266"/>
      <c r="M146" s="253"/>
    </row>
    <row r="147" spans="2:14">
      <c r="B147" s="254">
        <f>+B146+1</f>
        <v>70</v>
      </c>
      <c r="C147" s="255"/>
      <c r="D147" s="250" t="s">
        <v>130</v>
      </c>
      <c r="E147" s="253" t="s">
        <v>11</v>
      </c>
      <c r="F147" s="253"/>
      <c r="G147" s="613">
        <v>252044402</v>
      </c>
      <c r="H147" s="253"/>
      <c r="I147" s="267"/>
      <c r="J147" s="268"/>
      <c r="K147" s="253"/>
      <c r="L147" s="266"/>
      <c r="M147" s="253"/>
    </row>
    <row r="148" spans="2:14">
      <c r="B148" s="254">
        <f t="shared" ref="B148:B153" si="7">+B147+1</f>
        <v>71</v>
      </c>
      <c r="C148" s="255"/>
      <c r="D148" s="250" t="s">
        <v>246</v>
      </c>
      <c r="E148" s="253" t="s">
        <v>202</v>
      </c>
      <c r="F148" s="253"/>
      <c r="G148" s="613">
        <f>57359364+39544542+87724</f>
        <v>96991630</v>
      </c>
      <c r="H148" s="253"/>
      <c r="I148" s="267"/>
      <c r="J148" s="268"/>
      <c r="K148" s="253"/>
      <c r="L148" s="266"/>
      <c r="M148" s="253"/>
    </row>
    <row r="149" spans="2:14">
      <c r="B149" s="254">
        <f t="shared" si="7"/>
        <v>72</v>
      </c>
      <c r="C149" s="255"/>
      <c r="D149" s="250" t="s">
        <v>247</v>
      </c>
      <c r="E149" s="253" t="s">
        <v>417</v>
      </c>
      <c r="F149" s="253"/>
      <c r="G149" s="613">
        <v>7745900</v>
      </c>
      <c r="H149" s="253"/>
      <c r="I149" s="267"/>
      <c r="J149" s="268"/>
      <c r="K149" s="253"/>
      <c r="L149" s="266"/>
      <c r="M149" s="253"/>
    </row>
    <row r="150" spans="2:14" ht="15.75" thickBot="1">
      <c r="B150" s="254">
        <f t="shared" si="7"/>
        <v>73</v>
      </c>
      <c r="C150" s="255"/>
      <c r="D150" s="250" t="s">
        <v>135</v>
      </c>
      <c r="E150" s="253" t="s">
        <v>416</v>
      </c>
      <c r="F150" s="253"/>
      <c r="G150" s="614">
        <v>527802080</v>
      </c>
      <c r="H150" s="266"/>
      <c r="I150" s="68"/>
      <c r="J150" s="68"/>
      <c r="K150"/>
      <c r="L150"/>
      <c r="M150" s="250"/>
      <c r="N150" s="253"/>
    </row>
    <row r="151" spans="2:14">
      <c r="B151" s="254">
        <f t="shared" si="7"/>
        <v>74</v>
      </c>
      <c r="C151" s="255"/>
      <c r="D151" s="250" t="s">
        <v>248</v>
      </c>
      <c r="E151" s="253" t="str">
        <f>"(sum lns "&amp;B146&amp;"  to "&amp;B150&amp;")"</f>
        <v>(sum lns 69  to 73)</v>
      </c>
      <c r="F151" s="253"/>
      <c r="G151" s="266">
        <f>SUM(G146:G150)</f>
        <v>2528753560</v>
      </c>
      <c r="H151" s="266"/>
      <c r="I151" s="68"/>
      <c r="J151" s="68"/>
      <c r="K151"/>
      <c r="L151"/>
      <c r="M151" s="250"/>
      <c r="N151" s="253"/>
    </row>
    <row r="152" spans="2:14">
      <c r="B152" s="254">
        <f t="shared" si="7"/>
        <v>75</v>
      </c>
      <c r="C152" s="255"/>
      <c r="D152" s="250" t="s">
        <v>328</v>
      </c>
      <c r="E152" s="253" t="str">
        <f>"(Note G) (Worksheet F, ln "&amp;'WS F Misc Exp'!A33&amp;".C)"</f>
        <v>(Note G) (Worksheet F, ln 14.C)</v>
      </c>
      <c r="F152" s="253"/>
      <c r="G152" s="266">
        <f>'WS F Misc Exp'!D33</f>
        <v>14479697.219999999</v>
      </c>
      <c r="H152" s="266"/>
      <c r="I152" s="68"/>
      <c r="J152" s="68"/>
      <c r="K152"/>
      <c r="L152"/>
      <c r="M152" s="250"/>
      <c r="N152" s="253"/>
    </row>
    <row r="153" spans="2:14">
      <c r="B153" s="254">
        <f t="shared" si="7"/>
        <v>76</v>
      </c>
      <c r="C153" s="255"/>
      <c r="D153" s="250" t="s">
        <v>23</v>
      </c>
      <c r="E153" s="253" t="s">
        <v>100</v>
      </c>
      <c r="F153" s="253"/>
      <c r="G153" s="613">
        <v>457086191.28000009</v>
      </c>
      <c r="H153" s="266"/>
      <c r="I153" s="68"/>
      <c r="J153" s="68"/>
      <c r="K153"/>
      <c r="L153"/>
      <c r="M153" s="250"/>
      <c r="N153" s="253"/>
    </row>
    <row r="154" spans="2:14" ht="15.75" thickBot="1">
      <c r="B154" s="254">
        <f>+B153+1</f>
        <v>77</v>
      </c>
      <c r="C154" s="255"/>
      <c r="D154" s="250" t="s">
        <v>332</v>
      </c>
      <c r="E154" s="253" t="s">
        <v>480</v>
      </c>
      <c r="F154" s="253"/>
      <c r="G154" s="301">
        <f>+'WS F Misc Exp'!D21</f>
        <v>-7581379.46</v>
      </c>
      <c r="H154" s="266"/>
      <c r="I154" s="68"/>
      <c r="J154" s="68"/>
      <c r="K154"/>
      <c r="L154"/>
      <c r="M154" s="250"/>
      <c r="N154" s="253"/>
    </row>
    <row r="155" spans="2:14">
      <c r="B155" s="254">
        <f>+B154+1</f>
        <v>78</v>
      </c>
      <c r="C155" s="255"/>
      <c r="D155" s="250" t="s">
        <v>384</v>
      </c>
      <c r="E155" s="253" t="str">
        <f>"(lns "&amp;B150&amp;" - "&amp;B152&amp;" - "&amp;B153&amp;" - "&amp;B154&amp;")"</f>
        <v>(lns 73 - 75 - 76 - 77)</v>
      </c>
      <c r="F155" s="250"/>
      <c r="G155" s="266">
        <f>G150-G152-G153-G154</f>
        <v>63817570.959999882</v>
      </c>
      <c r="H155" s="253"/>
      <c r="I155" s="267" t="s">
        <v>120</v>
      </c>
      <c r="J155" s="268">
        <f>L239</f>
        <v>0.98379145853830474</v>
      </c>
      <c r="K155" s="253"/>
      <c r="L155" s="266">
        <f>+J155*G155</f>
        <v>62783181.215110041</v>
      </c>
      <c r="M155" s="250"/>
      <c r="N155" s="253"/>
    </row>
    <row r="156" spans="2:14">
      <c r="B156" s="254"/>
      <c r="C156" s="255"/>
      <c r="D156" s="250"/>
      <c r="E156" s="253"/>
      <c r="F156" s="253"/>
      <c r="G156" s="68"/>
      <c r="H156" s="266"/>
      <c r="I156" s="68"/>
      <c r="J156" s="68"/>
      <c r="K156"/>
      <c r="L156"/>
      <c r="M156" s="250"/>
      <c r="N156" s="253"/>
    </row>
    <row r="157" spans="2:14">
      <c r="B157" s="254">
        <f>+B155+1</f>
        <v>79</v>
      </c>
      <c r="C157" s="255"/>
      <c r="D157" s="250" t="s">
        <v>104</v>
      </c>
      <c r="E157" s="253" t="s">
        <v>745</v>
      </c>
      <c r="F157" s="253"/>
      <c r="G157" s="613">
        <v>102180849</v>
      </c>
      <c r="H157" s="266"/>
      <c r="I157" s="306"/>
      <c r="J157" s="306"/>
      <c r="K157" s="253"/>
      <c r="L157" s="266"/>
      <c r="M157" s="253"/>
      <c r="N157" s="253"/>
    </row>
    <row r="158" spans="2:14">
      <c r="B158" s="254">
        <f t="shared" ref="B158:B172" si="8">+B157+1</f>
        <v>80</v>
      </c>
      <c r="C158" s="255"/>
      <c r="D158" s="250" t="s">
        <v>330</v>
      </c>
      <c r="E158" s="253" t="s">
        <v>418</v>
      </c>
      <c r="F158" s="253"/>
      <c r="G158" s="613">
        <v>5056653.47</v>
      </c>
      <c r="H158" s="266"/>
      <c r="I158" s="306"/>
      <c r="J158" s="250"/>
      <c r="K158" s="253"/>
      <c r="L158" s="266"/>
      <c r="M158"/>
      <c r="N158" s="253"/>
    </row>
    <row r="159" spans="2:14">
      <c r="B159" s="254">
        <f t="shared" si="8"/>
        <v>81</v>
      </c>
      <c r="C159" s="255"/>
      <c r="D159" s="923" t="s">
        <v>850</v>
      </c>
      <c r="E159" s="253" t="str">
        <f>"PBOP Worksheet O Line "&amp;'WS O - PBOP'!A37&amp;" &amp; "&amp;'WS O - PBOP'!A39&amp;", (Note K)"</f>
        <v>PBOP Worksheet O Line 9 &amp; 10, (Note K)</v>
      </c>
      <c r="F159" s="253"/>
      <c r="G159" s="924">
        <f>'WS O - PBOP'!D37+'WS O - PBOP'!D39</f>
        <v>-11403436.449999992</v>
      </c>
      <c r="H159" s="266"/>
      <c r="I159" s="306"/>
      <c r="J159" s="250"/>
      <c r="K159" s="253"/>
      <c r="L159" s="266"/>
      <c r="M159"/>
      <c r="N159" s="253"/>
    </row>
    <row r="160" spans="2:14">
      <c r="B160" s="254">
        <f t="shared" si="8"/>
        <v>82</v>
      </c>
      <c r="C160" s="255"/>
      <c r="D160" s="250" t="s">
        <v>851</v>
      </c>
      <c r="E160" s="253" t="str">
        <f>"PBOP Worksheet O  Line "&amp;'WS O - PBOP'!A41&amp;", (Note K)"</f>
        <v>PBOP Worksheet O  Line 11, (Note K)</v>
      </c>
      <c r="F160" s="253"/>
      <c r="G160" s="924">
        <f>'WS O - PBOP'!D41</f>
        <v>0</v>
      </c>
      <c r="H160" s="266"/>
      <c r="I160" s="306"/>
      <c r="J160" s="250"/>
      <c r="K160" s="253"/>
      <c r="L160" s="266"/>
      <c r="M160"/>
      <c r="N160" s="253"/>
    </row>
    <row r="161" spans="2:14">
      <c r="B161" s="254">
        <f t="shared" si="8"/>
        <v>83</v>
      </c>
      <c r="C161" s="255"/>
      <c r="D161" s="250" t="s">
        <v>852</v>
      </c>
      <c r="E161" s="253" t="str">
        <f>"PBOP Worksheet O Line "&amp;'WS O - PBOP'!A45&amp;", (Note K)"</f>
        <v>PBOP Worksheet O Line 13, (Note K)</v>
      </c>
      <c r="F161" s="253"/>
      <c r="G161" s="924">
        <f>'WS O - PBOP'!D45</f>
        <v>-3898083.2088364419</v>
      </c>
      <c r="H161" s="266"/>
      <c r="I161" s="306"/>
      <c r="J161" s="250"/>
      <c r="K161" s="253"/>
      <c r="L161" s="266"/>
      <c r="M161"/>
      <c r="N161" s="253"/>
    </row>
    <row r="162" spans="2:14">
      <c r="B162" s="254">
        <f t="shared" si="8"/>
        <v>84</v>
      </c>
      <c r="C162" s="255"/>
      <c r="D162" s="250" t="s">
        <v>329</v>
      </c>
      <c r="E162" s="253" t="s">
        <v>96</v>
      </c>
      <c r="F162" s="253"/>
      <c r="G162" s="613">
        <f>'WS F Misc Exp'!D42</f>
        <v>14982046.059999999</v>
      </c>
      <c r="H162" s="266"/>
      <c r="I162" s="306"/>
      <c r="J162" s="321"/>
      <c r="K162" s="253"/>
      <c r="L162" s="266"/>
      <c r="M162" s="253"/>
      <c r="N162" s="253"/>
    </row>
    <row r="163" spans="2:14">
      <c r="B163" s="254">
        <f t="shared" si="8"/>
        <v>85</v>
      </c>
      <c r="C163" s="255"/>
      <c r="D163" s="250" t="s">
        <v>107</v>
      </c>
      <c r="E163" s="253" t="s">
        <v>97</v>
      </c>
      <c r="F163" s="253"/>
      <c r="G163" s="613">
        <f>'WS F Misc Exp'!D61</f>
        <v>308913.07000000007</v>
      </c>
      <c r="H163" s="266"/>
      <c r="I163" s="306"/>
      <c r="J163" s="306"/>
      <c r="K163" s="253"/>
      <c r="L163" s="266"/>
      <c r="M163" s="253"/>
      <c r="N163" s="253"/>
    </row>
    <row r="164" spans="2:14" ht="15.75" thickBot="1">
      <c r="B164" s="254">
        <f t="shared" si="8"/>
        <v>86</v>
      </c>
      <c r="C164" s="255"/>
      <c r="D164" s="250" t="s">
        <v>331</v>
      </c>
      <c r="E164" s="253" t="s">
        <v>98</v>
      </c>
      <c r="F164" s="253"/>
      <c r="G164" s="614">
        <f>'WS F Misc Exp'!D71</f>
        <v>11229966.708000001</v>
      </c>
      <c r="H164" s="266"/>
      <c r="I164" s="306"/>
      <c r="J164" s="306"/>
      <c r="K164" s="253"/>
      <c r="L164" s="266"/>
      <c r="M164" s="253"/>
      <c r="N164" s="253"/>
    </row>
    <row r="165" spans="2:14">
      <c r="B165" s="254">
        <f t="shared" si="8"/>
        <v>87</v>
      </c>
      <c r="C165" s="255"/>
      <c r="D165" s="250" t="s">
        <v>108</v>
      </c>
      <c r="E165" s="253" t="str">
        <f>"(ln "&amp;B157&amp;" - sum ln "&amp;B158&amp;"  to ln "&amp;B164&amp;")"</f>
        <v>(ln 79 - sum ln 80  to ln 86)</v>
      </c>
      <c r="F165" s="253"/>
      <c r="G165" s="266">
        <f>G157-SUM(G158:G164)</f>
        <v>85904789.350836426</v>
      </c>
      <c r="H165" s="266"/>
      <c r="I165" s="267" t="s">
        <v>132</v>
      </c>
      <c r="J165" s="268">
        <f>L257</f>
        <v>0.11936202903264627</v>
      </c>
      <c r="K165" s="253"/>
      <c r="L165" s="266">
        <f>+J165*G165</f>
        <v>10253769.960537899</v>
      </c>
      <c r="M165" s="253"/>
      <c r="N165" s="253"/>
    </row>
    <row r="166" spans="2:14">
      <c r="B166" s="254" t="s">
        <v>1460</v>
      </c>
      <c r="C166" s="255"/>
      <c r="D166" s="250" t="s">
        <v>1424</v>
      </c>
      <c r="E166" s="253" t="s">
        <v>1461</v>
      </c>
      <c r="F166" s="253"/>
      <c r="G166" s="1210">
        <v>0</v>
      </c>
      <c r="H166" s="266"/>
      <c r="I166" s="267" t="s">
        <v>1438</v>
      </c>
      <c r="J166" s="268">
        <f>L246</f>
        <v>0</v>
      </c>
      <c r="K166" s="253"/>
      <c r="L166" s="266">
        <f>+J166*G166</f>
        <v>0</v>
      </c>
      <c r="M166" s="253"/>
      <c r="N166" s="253"/>
    </row>
    <row r="167" spans="2:14">
      <c r="B167" s="254">
        <f>+B165+1</f>
        <v>88</v>
      </c>
      <c r="C167" s="255"/>
      <c r="D167" s="250" t="s">
        <v>197</v>
      </c>
      <c r="E167" s="253" t="str">
        <f>"(ln "&amp;B158&amp;")"</f>
        <v>(ln 80)</v>
      </c>
      <c r="F167" s="253"/>
      <c r="G167" s="266">
        <f>+G158</f>
        <v>5056653.47</v>
      </c>
      <c r="H167" s="266"/>
      <c r="I167" s="267" t="s">
        <v>754</v>
      </c>
      <c r="J167" s="268">
        <f>J77</f>
        <v>0.2708192013666253</v>
      </c>
      <c r="K167" s="253"/>
      <c r="L167" s="266">
        <f>+J167*G167</f>
        <v>1369438.8543331744</v>
      </c>
      <c r="M167" s="253"/>
      <c r="N167" s="253"/>
    </row>
    <row r="168" spans="2:14">
      <c r="B168" s="254">
        <f t="shared" si="8"/>
        <v>89</v>
      </c>
      <c r="C168" s="255"/>
      <c r="D168" s="250" t="s">
        <v>230</v>
      </c>
      <c r="E168" s="253" t="str">
        <f>"Worksheet F ln "&amp;'WS F Misc Exp'!A42&amp;".(E) (Note L)"</f>
        <v>Worksheet F ln 21.(E) (Note L)</v>
      </c>
      <c r="F168" s="253"/>
      <c r="G168" s="266">
        <f>+'WS F Misc Exp'!F42</f>
        <v>918745.43</v>
      </c>
      <c r="H168" s="266"/>
      <c r="I168" s="267" t="s">
        <v>120</v>
      </c>
      <c r="J168" s="268">
        <f>L239</f>
        <v>0.98379145853830474</v>
      </c>
      <c r="K168" s="253"/>
      <c r="L168" s="266">
        <f>J168*G168</f>
        <v>903853.90660510201</v>
      </c>
      <c r="M168" s="253"/>
      <c r="N168" s="253"/>
    </row>
    <row r="169" spans="2:14">
      <c r="B169" s="254">
        <f t="shared" si="8"/>
        <v>90</v>
      </c>
      <c r="C169" s="255"/>
      <c r="D169" s="250" t="s">
        <v>240</v>
      </c>
      <c r="E169" s="253" t="str">
        <f>"Worksheet F ln "&amp;'WS F Misc Exp'!A61&amp;".(E) (Note L)"</f>
        <v>Worksheet F ln 37.(E) (Note L)</v>
      </c>
      <c r="F169" s="253"/>
      <c r="G169" s="266">
        <f>+'WS F Misc Exp'!F61</f>
        <v>2115.8900000000003</v>
      </c>
      <c r="H169" s="253"/>
      <c r="I169" s="267" t="s">
        <v>120</v>
      </c>
      <c r="J169" s="268">
        <f>L239</f>
        <v>0.98379145853830474</v>
      </c>
      <c r="K169" s="253"/>
      <c r="L169" s="266">
        <f>+J169*G169</f>
        <v>2081.594509206614</v>
      </c>
      <c r="M169" s="253"/>
      <c r="N169" s="253"/>
    </row>
    <row r="170" spans="2:14">
      <c r="B170" s="254">
        <f t="shared" si="8"/>
        <v>91</v>
      </c>
      <c r="C170" s="255"/>
      <c r="D170" s="250" t="s">
        <v>241</v>
      </c>
      <c r="E170" s="253" t="str">
        <f>"Worksheet F ln "&amp;'WS F Misc Exp'!A71&amp;".(E) (Note L)"</f>
        <v>Worksheet F ln 44.(E) (Note L)</v>
      </c>
      <c r="F170" s="253"/>
      <c r="G170" s="266">
        <f>+'WS F Misc Exp'!F71</f>
        <v>5897753.892</v>
      </c>
      <c r="H170" s="322"/>
      <c r="I170" s="267" t="s">
        <v>129</v>
      </c>
      <c r="J170" s="268">
        <v>1</v>
      </c>
      <c r="K170" s="253"/>
      <c r="L170" s="266">
        <f>+J170*G170</f>
        <v>5897753.892</v>
      </c>
      <c r="M170" s="253"/>
      <c r="N170" s="253"/>
    </row>
    <row r="171" spans="2:14" ht="15.75" thickBot="1">
      <c r="B171" s="254">
        <f t="shared" si="8"/>
        <v>92</v>
      </c>
      <c r="C171" s="255"/>
      <c r="D171" s="250" t="s">
        <v>853</v>
      </c>
      <c r="E171" s="253" t="s">
        <v>855</v>
      </c>
      <c r="F171" s="253"/>
      <c r="G171" s="301">
        <f>'WS O - PBOP'!E22</f>
        <v>-74179687</v>
      </c>
      <c r="H171" s="322"/>
      <c r="I171" s="267" t="s">
        <v>132</v>
      </c>
      <c r="J171" s="268">
        <f>L257</f>
        <v>0.11936202903264627</v>
      </c>
      <c r="K171" s="253"/>
      <c r="L171" s="301">
        <f>+J171*G171</f>
        <v>-8854237.9533266127</v>
      </c>
      <c r="M171" s="253"/>
      <c r="N171" s="253"/>
    </row>
    <row r="172" spans="2:14">
      <c r="B172" s="254">
        <f t="shared" si="8"/>
        <v>93</v>
      </c>
      <c r="C172" s="255"/>
      <c r="D172" s="250" t="s">
        <v>109</v>
      </c>
      <c r="E172" s="253" t="str">
        <f>"(sum lns "&amp;B165&amp;"  to "&amp;B171&amp;")"</f>
        <v>(sum lns 87  to 92)</v>
      </c>
      <c r="F172" s="253"/>
      <c r="G172" s="266">
        <f>SUM(G165:G171)</f>
        <v>23600371.032836437</v>
      </c>
      <c r="H172" s="266"/>
      <c r="I172" s="267"/>
      <c r="J172" s="306"/>
      <c r="K172" s="253"/>
      <c r="L172" s="266">
        <f>SUM(L165:L171)</f>
        <v>9572660.2546587698</v>
      </c>
      <c r="M172" s="253"/>
      <c r="N172" s="253"/>
    </row>
    <row r="173" spans="2:14" ht="15.75" thickBot="1">
      <c r="B173" s="254"/>
      <c r="C173" s="255"/>
      <c r="D173" s="250"/>
      <c r="E173" s="253"/>
      <c r="F173" s="253"/>
      <c r="G173" s="301"/>
      <c r="H173" s="253"/>
      <c r="I173" s="267"/>
      <c r="J173" s="306"/>
      <c r="K173" s="253"/>
      <c r="L173" s="301"/>
      <c r="M173" s="253"/>
      <c r="N173" s="253"/>
    </row>
    <row r="174" spans="2:14">
      <c r="B174" s="254">
        <f>+B172+1</f>
        <v>94</v>
      </c>
      <c r="C174" s="255"/>
      <c r="D174" s="250" t="s">
        <v>414</v>
      </c>
      <c r="E174" s="253" t="str">
        <f>"(ln "&amp;B155&amp;" + ln "&amp;B172&amp;")"</f>
        <v>(ln 78 + ln 93)</v>
      </c>
      <c r="F174" s="253"/>
      <c r="G174" s="266">
        <f>+G155+G172</f>
        <v>87417941.992836326</v>
      </c>
      <c r="H174" s="266"/>
      <c r="I174" s="267"/>
      <c r="J174" s="253"/>
      <c r="K174" s="253"/>
      <c r="L174" s="266">
        <f>L155+L172</f>
        <v>72355841.469768807</v>
      </c>
      <c r="M174" s="253"/>
      <c r="N174" s="253"/>
    </row>
    <row r="175" spans="2:14" ht="15.75" thickBot="1">
      <c r="B175" s="254">
        <f>+B174+1</f>
        <v>95</v>
      </c>
      <c r="C175" s="255"/>
      <c r="D175" s="250" t="s">
        <v>486</v>
      </c>
      <c r="E175" s="250"/>
      <c r="F175" s="253"/>
      <c r="G175" s="614">
        <v>0</v>
      </c>
      <c r="H175" s="266"/>
      <c r="I175" s="267" t="s">
        <v>129</v>
      </c>
      <c r="J175" s="268">
        <v>1</v>
      </c>
      <c r="K175" s="253"/>
      <c r="L175" s="301">
        <f>J175*G175</f>
        <v>0</v>
      </c>
      <c r="M175" s="253"/>
      <c r="N175" s="253"/>
    </row>
    <row r="176" spans="2:14">
      <c r="B176" s="254">
        <f>+B175+1</f>
        <v>96</v>
      </c>
      <c r="C176" s="255"/>
      <c r="D176" s="250" t="s">
        <v>110</v>
      </c>
      <c r="E176" s="253" t="str">
        <f>"(ln "&amp;B174&amp;" + ln "&amp;B175&amp;")"</f>
        <v>(ln 94 + ln 95)</v>
      </c>
      <c r="F176" s="253"/>
      <c r="G176" s="266">
        <f>+G174+G175</f>
        <v>87417941.992836326</v>
      </c>
      <c r="H176" s="266"/>
      <c r="I176" s="267"/>
      <c r="J176" s="253"/>
      <c r="K176" s="253"/>
      <c r="L176" s="266">
        <f>+L174+L175</f>
        <v>72355841.469768807</v>
      </c>
      <c r="M176" s="253"/>
      <c r="N176" s="253"/>
    </row>
    <row r="177" spans="2:14">
      <c r="B177" s="254"/>
      <c r="C177" s="255"/>
      <c r="D177" s="250"/>
      <c r="E177" s="253"/>
      <c r="F177" s="253"/>
      <c r="G177" s="266"/>
      <c r="H177" s="253"/>
      <c r="I177" s="253"/>
      <c r="J177" s="253"/>
      <c r="K177" s="253"/>
      <c r="L177" s="266"/>
      <c r="M177" s="253"/>
      <c r="N177" s="253"/>
    </row>
    <row r="178" spans="2:14">
      <c r="B178" s="254">
        <f>+B176+1</f>
        <v>97</v>
      </c>
      <c r="C178" s="255"/>
      <c r="D178" s="250" t="s">
        <v>113</v>
      </c>
      <c r="E178" s="267"/>
      <c r="F178" s="267"/>
      <c r="G178" s="266"/>
      <c r="H178" s="253"/>
      <c r="I178" s="267"/>
      <c r="J178" s="253"/>
      <c r="K178" s="253"/>
      <c r="L178" s="266"/>
      <c r="M178" s="253"/>
      <c r="N178" s="253"/>
    </row>
    <row r="179" spans="2:14">
      <c r="B179" s="254">
        <f t="shared" ref="B179:B183" si="9">+B178+1</f>
        <v>98</v>
      </c>
      <c r="C179" s="255"/>
      <c r="D179" s="250" t="s">
        <v>126</v>
      </c>
      <c r="E179" s="264" t="s">
        <v>424</v>
      </c>
      <c r="F179" s="267"/>
      <c r="G179" s="613">
        <f>223394045+5879664+5535091+2280520+194890+27996003</f>
        <v>265280213</v>
      </c>
      <c r="H179" s="253"/>
      <c r="I179" s="267" t="s">
        <v>127</v>
      </c>
      <c r="J179" s="268">
        <v>0</v>
      </c>
      <c r="K179" s="253"/>
      <c r="L179" s="266">
        <f>+G179*J179</f>
        <v>0</v>
      </c>
      <c r="M179" s="253"/>
      <c r="N179" s="253"/>
    </row>
    <row r="180" spans="2:14">
      <c r="B180" s="254">
        <f t="shared" si="9"/>
        <v>99</v>
      </c>
      <c r="C180" s="255"/>
      <c r="D180" s="250" t="s">
        <v>130</v>
      </c>
      <c r="E180" s="264" t="s">
        <v>423</v>
      </c>
      <c r="F180" s="267"/>
      <c r="G180" s="613">
        <v>197797272</v>
      </c>
      <c r="H180" s="253"/>
      <c r="I180" s="267" t="s">
        <v>127</v>
      </c>
      <c r="J180" s="268">
        <v>0</v>
      </c>
      <c r="K180" s="253"/>
      <c r="L180" s="266">
        <f>+G180*J180</f>
        <v>0</v>
      </c>
      <c r="M180" s="253"/>
      <c r="N180" s="253"/>
    </row>
    <row r="181" spans="2:14">
      <c r="B181" s="254">
        <f t="shared" si="9"/>
        <v>100</v>
      </c>
      <c r="C181" s="255"/>
      <c r="D181" s="296" t="str">
        <f>+D150</f>
        <v xml:space="preserve">  Transmission </v>
      </c>
      <c r="E181" s="264" t="s">
        <v>419</v>
      </c>
      <c r="F181" s="297"/>
      <c r="G181" s="613">
        <v>122848159</v>
      </c>
      <c r="H181" s="323"/>
      <c r="I181" s="298" t="s">
        <v>26</v>
      </c>
      <c r="J181" s="268">
        <f>J82</f>
        <v>0.97105980561882121</v>
      </c>
      <c r="K181" s="299"/>
      <c r="L181" s="300">
        <f>J181*G181</f>
        <v>119292909.39917004</v>
      </c>
      <c r="M181" s="299"/>
      <c r="N181" s="253"/>
    </row>
    <row r="182" spans="2:14">
      <c r="B182" s="254">
        <f>+B181+1</f>
        <v>101</v>
      </c>
      <c r="C182" s="255"/>
      <c r="D182" s="250" t="s">
        <v>136</v>
      </c>
      <c r="E182" s="297" t="s">
        <v>420</v>
      </c>
      <c r="F182" s="253"/>
      <c r="G182" s="613">
        <v>64513055</v>
      </c>
      <c r="H182" s="266"/>
      <c r="I182" s="267" t="s">
        <v>132</v>
      </c>
      <c r="J182" s="268">
        <f>L257</f>
        <v>0.11936202903264627</v>
      </c>
      <c r="K182" s="253"/>
      <c r="L182" s="266">
        <f>+J182*G182</f>
        <v>7700409.1438947059</v>
      </c>
      <c r="M182" s="253"/>
      <c r="N182" s="253"/>
    </row>
    <row r="183" spans="2:14">
      <c r="B183" s="254">
        <f t="shared" si="9"/>
        <v>102</v>
      </c>
      <c r="C183" s="255"/>
      <c r="D183" s="250" t="s">
        <v>137</v>
      </c>
      <c r="E183" s="297" t="s">
        <v>421</v>
      </c>
      <c r="F183" s="253"/>
      <c r="G183" s="613">
        <v>343509</v>
      </c>
      <c r="H183" s="266"/>
      <c r="I183" s="267" t="s">
        <v>132</v>
      </c>
      <c r="J183" s="268">
        <f>L257</f>
        <v>0.11936202903264627</v>
      </c>
      <c r="K183" s="253"/>
      <c r="L183" s="266">
        <f>+J183*G183</f>
        <v>41001.931230975286</v>
      </c>
      <c r="M183" s="253"/>
      <c r="N183" s="253"/>
    </row>
    <row r="184" spans="2:14" ht="15.75" thickBot="1">
      <c r="B184" s="254" t="s">
        <v>1462</v>
      </c>
      <c r="C184" s="255"/>
      <c r="D184" s="250" t="s">
        <v>1424</v>
      </c>
      <c r="E184" s="264" t="s">
        <v>1463</v>
      </c>
      <c r="F184" s="267"/>
      <c r="G184" s="1211">
        <v>261212</v>
      </c>
      <c r="H184" s="253"/>
      <c r="I184" s="267" t="s">
        <v>1438</v>
      </c>
      <c r="J184" s="268">
        <f>$L$246</f>
        <v>0</v>
      </c>
      <c r="K184" s="253"/>
      <c r="L184" s="301">
        <f>+G184*J184</f>
        <v>0</v>
      </c>
      <c r="M184" s="253"/>
      <c r="N184" s="253"/>
    </row>
    <row r="185" spans="2:14">
      <c r="B185" s="254">
        <f>+B183+1</f>
        <v>103</v>
      </c>
      <c r="C185" s="255"/>
      <c r="D185" s="250" t="s">
        <v>301</v>
      </c>
      <c r="E185" s="1235" t="str">
        <f>"(Ln "&amp;B179&amp;"+"&amp;B180&amp;"+
"&amp;B181&amp;"+"&amp;B182&amp;"+"&amp;B183&amp;")"</f>
        <v>(Ln 98+99+
100+101+102)</v>
      </c>
      <c r="F185" s="253"/>
      <c r="G185" s="266">
        <f>+G179+G180+G181+G182+G183+G184</f>
        <v>651043420</v>
      </c>
      <c r="H185" s="253"/>
      <c r="I185" s="267"/>
      <c r="J185" s="253"/>
      <c r="K185" s="253"/>
      <c r="L185" s="266">
        <f>+L179+L180+L181+L182+L183+L184</f>
        <v>127034320.47429572</v>
      </c>
      <c r="M185" s="253"/>
      <c r="N185" s="253"/>
    </row>
    <row r="186" spans="2:14">
      <c r="B186" s="254"/>
      <c r="C186" s="255"/>
      <c r="D186" s="250"/>
      <c r="E186" s="1236"/>
      <c r="F186" s="253"/>
      <c r="G186" s="266"/>
      <c r="H186" s="253"/>
      <c r="I186" s="267"/>
      <c r="J186" s="253"/>
      <c r="K186" s="253"/>
      <c r="L186" s="266"/>
      <c r="M186" s="253"/>
      <c r="N186" s="253"/>
    </row>
    <row r="187" spans="2:14">
      <c r="B187" s="254">
        <f>+B185+1</f>
        <v>104</v>
      </c>
      <c r="C187" s="255"/>
      <c r="D187" s="250" t="s">
        <v>32</v>
      </c>
      <c r="E187" s="246" t="s">
        <v>422</v>
      </c>
      <c r="G187" s="266"/>
      <c r="H187" s="253"/>
      <c r="I187" s="267"/>
      <c r="J187" s="253"/>
      <c r="K187" s="253"/>
      <c r="L187" s="266"/>
      <c r="M187" s="253"/>
      <c r="N187" s="253"/>
    </row>
    <row r="188" spans="2:14">
      <c r="B188" s="254">
        <f t="shared" ref="B188:B193" si="10">+B187+1</f>
        <v>105</v>
      </c>
      <c r="C188" s="255"/>
      <c r="D188" s="250" t="s">
        <v>138</v>
      </c>
      <c r="G188" s="266"/>
      <c r="H188" s="253"/>
      <c r="I188" s="267"/>
      <c r="K188" s="253"/>
      <c r="L188" s="266"/>
      <c r="M188" s="253"/>
      <c r="N188" s="253"/>
    </row>
    <row r="189" spans="2:14">
      <c r="B189" s="254">
        <f t="shared" si="10"/>
        <v>106</v>
      </c>
      <c r="C189" s="255"/>
      <c r="D189" s="250" t="s">
        <v>139</v>
      </c>
      <c r="E189" s="253" t="str">
        <f>"Worksheet H ln "&amp;'WS H Other Taxes'!A43&amp;"."&amp;'WS H Other Taxes'!I10&amp;""</f>
        <v>Worksheet H ln 24.(D)</v>
      </c>
      <c r="F189" s="253"/>
      <c r="G189" s="266">
        <f>+'WS H Other Taxes'!I43</f>
        <v>9094222.8100000005</v>
      </c>
      <c r="H189" s="266"/>
      <c r="I189" s="267" t="s">
        <v>132</v>
      </c>
      <c r="J189" s="268">
        <f>L257</f>
        <v>0.11936202903264627</v>
      </c>
      <c r="K189" s="253"/>
      <c r="L189" s="266">
        <f>+J189*G189</f>
        <v>1085504.8870765739</v>
      </c>
      <c r="M189" s="312"/>
      <c r="N189" s="253"/>
    </row>
    <row r="190" spans="2:14">
      <c r="B190" s="254">
        <f t="shared" si="10"/>
        <v>107</v>
      </c>
      <c r="C190" s="255"/>
      <c r="D190" s="250" t="s">
        <v>140</v>
      </c>
      <c r="E190" s="253" t="s">
        <v>114</v>
      </c>
      <c r="F190" s="253"/>
      <c r="G190" s="266"/>
      <c r="H190" s="266"/>
      <c r="I190" s="267"/>
      <c r="K190" s="253"/>
      <c r="L190" s="266"/>
      <c r="M190" s="253"/>
      <c r="N190" s="253"/>
    </row>
    <row r="191" spans="2:14">
      <c r="B191" s="254">
        <f t="shared" si="10"/>
        <v>108</v>
      </c>
      <c r="C191" s="255"/>
      <c r="D191" s="250" t="s">
        <v>141</v>
      </c>
      <c r="E191" s="253" t="str">
        <f>"Worksheet H ln "&amp;'WS H Other Taxes'!A43&amp;"."&amp;'WS H Other Taxes'!G10&amp;""</f>
        <v>Worksheet H ln 24.(C)</v>
      </c>
      <c r="F191" s="253"/>
      <c r="G191" s="266">
        <f>+'WS H Other Taxes'!G43</f>
        <v>93753349.520000011</v>
      </c>
      <c r="H191" s="266"/>
      <c r="I191" s="267" t="s">
        <v>129</v>
      </c>
      <c r="J191" s="268"/>
      <c r="K191" s="253"/>
      <c r="L191" s="316">
        <f>'WS H-1-Detail of Tax Amts'!I25</f>
        <v>37102704.476715855</v>
      </c>
      <c r="M191" s="324"/>
      <c r="N191" s="253"/>
    </row>
    <row r="192" spans="2:14">
      <c r="B192" s="254">
        <f t="shared" si="10"/>
        <v>109</v>
      </c>
      <c r="C192" s="255"/>
      <c r="D192" s="250" t="s">
        <v>200</v>
      </c>
      <c r="E192" s="253" t="str">
        <f>"Worksheet H ln "&amp;'WS H Other Taxes'!A43&amp;"."&amp;'WS H Other Taxes'!M10&amp;""</f>
        <v>Worksheet H ln 24.(F)</v>
      </c>
      <c r="F192" s="253"/>
      <c r="G192" s="266">
        <f>+'WS H Other Taxes'!M43</f>
        <v>44376464</v>
      </c>
      <c r="H192" s="68"/>
      <c r="I192" s="267" t="s">
        <v>127</v>
      </c>
      <c r="J192" s="268">
        <v>0</v>
      </c>
      <c r="K192" s="253"/>
      <c r="L192" s="266">
        <f>+J192*G192</f>
        <v>0</v>
      </c>
      <c r="M192" s="253"/>
      <c r="N192" s="253"/>
    </row>
    <row r="193" spans="2:14" ht="15.75" thickBot="1">
      <c r="B193" s="254">
        <f t="shared" si="10"/>
        <v>110</v>
      </c>
      <c r="C193" s="255"/>
      <c r="D193" s="250" t="s">
        <v>142</v>
      </c>
      <c r="E193" s="253" t="str">
        <f>"Worksheet H ln "&amp;'WS H Other Taxes'!A43&amp;"."&amp;'WS H Other Taxes'!K10&amp;""</f>
        <v>Worksheet H ln 24.(E)</v>
      </c>
      <c r="F193" s="253"/>
      <c r="G193" s="301">
        <f>+'WS H Other Taxes'!K43</f>
        <v>25434899</v>
      </c>
      <c r="H193" s="68"/>
      <c r="I193" s="267" t="s">
        <v>754</v>
      </c>
      <c r="J193" s="268">
        <f>J77</f>
        <v>0.2708192013666253</v>
      </c>
      <c r="K193" s="253"/>
      <c r="L193" s="301">
        <f>+J193*G193</f>
        <v>6888259.0340207759</v>
      </c>
      <c r="M193" s="253"/>
      <c r="N193" s="253"/>
    </row>
    <row r="194" spans="2:14">
      <c r="B194" s="254">
        <f>+B193+1</f>
        <v>111</v>
      </c>
      <c r="C194" s="255"/>
      <c r="D194" s="250" t="s">
        <v>33</v>
      </c>
      <c r="E194" s="264" t="str">
        <f>"(sum lns "&amp;B189&amp;" to "&amp;B193&amp;")"</f>
        <v>(sum lns 106 to 110)</v>
      </c>
      <c r="F194" s="253"/>
      <c r="G194" s="266">
        <f>SUM(G189:G193)</f>
        <v>172658935.33000001</v>
      </c>
      <c r="H194" s="253"/>
      <c r="I194" s="267"/>
      <c r="J194" s="325"/>
      <c r="K194" s="253"/>
      <c r="L194" s="266">
        <f>SUM(L189:L193)</f>
        <v>45076468.397813201</v>
      </c>
      <c r="M194" s="253"/>
      <c r="N194" s="253"/>
    </row>
    <row r="195" spans="2:14">
      <c r="B195" s="254"/>
      <c r="C195" s="255"/>
      <c r="D195" s="250"/>
      <c r="E195" s="253"/>
      <c r="F195" s="253"/>
      <c r="G195" s="253"/>
      <c r="H195" s="253"/>
      <c r="I195" s="267"/>
      <c r="J195" s="325"/>
      <c r="K195" s="253"/>
      <c r="L195" s="253"/>
      <c r="M195" s="311"/>
      <c r="N195" s="253"/>
    </row>
    <row r="196" spans="2:14">
      <c r="B196" s="254">
        <f>+B194+1</f>
        <v>112</v>
      </c>
      <c r="C196" s="255"/>
      <c r="D196" s="250" t="s">
        <v>337</v>
      </c>
      <c r="E196" s="253" t="s">
        <v>425</v>
      </c>
      <c r="F196" s="326"/>
      <c r="G196" s="253"/>
      <c r="H196" s="68"/>
      <c r="I196" s="317"/>
      <c r="K196" s="253"/>
      <c r="L196" s="327"/>
      <c r="M196" s="253"/>
      <c r="N196" s="253"/>
    </row>
    <row r="197" spans="2:14">
      <c r="B197" s="254">
        <f t="shared" ref="B197:B204" si="11">+B196+1</f>
        <v>113</v>
      </c>
      <c r="C197" s="255"/>
      <c r="D197" s="312" t="s">
        <v>338</v>
      </c>
      <c r="E197" s="253"/>
      <c r="F197" s="328"/>
      <c r="G197" s="329">
        <f>IF(F354&gt;0,1-(((1-F355)*(1-F354))/(1-F355*F354*F356)),0)</f>
        <v>0.23319676999999994</v>
      </c>
      <c r="H197" s="330"/>
      <c r="I197" s="330"/>
      <c r="K197" s="331"/>
      <c r="L197" s="327"/>
      <c r="M197" s="253"/>
      <c r="N197" s="253"/>
    </row>
    <row r="198" spans="2:14">
      <c r="B198" s="254">
        <f t="shared" si="11"/>
        <v>114</v>
      </c>
      <c r="C198" s="255"/>
      <c r="D198" s="246" t="s">
        <v>339</v>
      </c>
      <c r="E198" s="253"/>
      <c r="F198" s="328"/>
      <c r="G198" s="329">
        <f>IF(L271&gt;0,($G197/(1-$G197))*(1-$L271/$L274),0)</f>
        <v>0.20880508137686571</v>
      </c>
      <c r="H198" s="330"/>
      <c r="I198" s="330"/>
      <c r="K198" s="331"/>
      <c r="L198" s="327"/>
      <c r="M198" s="253"/>
      <c r="N198" s="253"/>
    </row>
    <row r="199" spans="2:14">
      <c r="B199" s="254">
        <f t="shared" si="11"/>
        <v>115</v>
      </c>
      <c r="C199" s="255"/>
      <c r="D199" s="250" t="str">
        <f>"       where WCLTD=(ln "&amp;B271&amp;") and WACC = (ln "&amp;B274&amp;")"</f>
        <v xml:space="preserve">       where WCLTD=(ln 154) and WACC = (ln 157)</v>
      </c>
      <c r="E199" s="253"/>
      <c r="F199" s="326"/>
      <c r="G199" s="253"/>
      <c r="H199" s="330"/>
      <c r="I199" s="330"/>
      <c r="J199" s="332"/>
      <c r="K199" s="331"/>
      <c r="L199" s="333"/>
      <c r="M199" s="253"/>
      <c r="N199" s="253"/>
    </row>
    <row r="200" spans="2:14">
      <c r="B200" s="254">
        <f t="shared" si="11"/>
        <v>116</v>
      </c>
      <c r="C200" s="255"/>
      <c r="D200" s="250" t="s">
        <v>428</v>
      </c>
      <c r="E200" s="334"/>
      <c r="F200" s="328"/>
      <c r="G200" s="253"/>
      <c r="H200" s="68"/>
      <c r="I200" s="317"/>
      <c r="J200" s="332"/>
      <c r="K200" s="331"/>
      <c r="L200" s="327"/>
      <c r="M200" s="253"/>
      <c r="N200" s="253"/>
    </row>
    <row r="201" spans="2:14">
      <c r="B201" s="254">
        <f t="shared" si="11"/>
        <v>117</v>
      </c>
      <c r="C201" s="255"/>
      <c r="D201" s="312" t="str">
        <f>"      GRCF=1 / (1 - T)  = (from ln "&amp;B197&amp;")"</f>
        <v xml:space="preserve">      GRCF=1 / (1 - T)  = (from ln 113)</v>
      </c>
      <c r="E201" s="326"/>
      <c r="F201" s="326"/>
      <c r="G201" s="335">
        <f>IF(G197&gt;0,1/(1-G197),0)</f>
        <v>1.3041155290908202</v>
      </c>
      <c r="H201" s="68"/>
      <c r="I201" s="280"/>
      <c r="J201" s="336"/>
      <c r="K201" s="337"/>
      <c r="L201" s="338"/>
      <c r="M201" s="253"/>
      <c r="N201" s="253"/>
    </row>
    <row r="202" spans="2:14">
      <c r="B202" s="254">
        <f t="shared" si="11"/>
        <v>118</v>
      </c>
      <c r="C202" s="255"/>
      <c r="D202" s="250" t="s">
        <v>340</v>
      </c>
      <c r="E202" s="306" t="s">
        <v>504</v>
      </c>
      <c r="F202" s="326"/>
      <c r="G202" s="613">
        <v>-11625</v>
      </c>
      <c r="H202" s="68"/>
      <c r="I202" s="280"/>
      <c r="J202" s="339"/>
      <c r="K202" s="337"/>
      <c r="L202" s="327"/>
      <c r="M202" s="267"/>
      <c r="N202" s="253"/>
    </row>
    <row r="203" spans="2:14">
      <c r="B203" s="254">
        <f t="shared" si="11"/>
        <v>119</v>
      </c>
      <c r="C203" s="255"/>
      <c r="D203" s="246" t="s">
        <v>532</v>
      </c>
      <c r="E203" s="253" t="s">
        <v>545</v>
      </c>
      <c r="F203" s="340"/>
      <c r="G203" s="1171">
        <v>-15928206.703777436</v>
      </c>
      <c r="H203" s="198"/>
      <c r="I203" s="267" t="s">
        <v>129</v>
      </c>
      <c r="J203" s="339"/>
      <c r="K203" s="337"/>
      <c r="L203" s="1171">
        <v>-4764030.7037774362</v>
      </c>
      <c r="M203" s="267"/>
      <c r="N203" s="253"/>
    </row>
    <row r="204" spans="2:14">
      <c r="B204" s="254">
        <f t="shared" si="11"/>
        <v>120</v>
      </c>
      <c r="C204" s="255"/>
      <c r="D204" s="246" t="s">
        <v>744</v>
      </c>
      <c r="E204" s="253" t="s">
        <v>545</v>
      </c>
      <c r="F204" s="340"/>
      <c r="G204" s="1171">
        <v>7502554.55264189</v>
      </c>
      <c r="H204" s="198"/>
      <c r="I204" s="267" t="s">
        <v>129</v>
      </c>
      <c r="J204" s="339"/>
      <c r="K204" s="337"/>
      <c r="L204" s="1171">
        <v>2754042.3811858059</v>
      </c>
      <c r="M204" s="267"/>
      <c r="N204" s="253"/>
    </row>
    <row r="205" spans="2:14">
      <c r="B205" s="254"/>
      <c r="C205" s="255"/>
      <c r="D205" s="250"/>
      <c r="E205" s="253"/>
      <c r="F205" s="328"/>
      <c r="G205" s="266"/>
      <c r="H205" s="68"/>
      <c r="I205" s="280"/>
      <c r="J205" s="341"/>
      <c r="K205" s="337"/>
      <c r="L205" s="327"/>
      <c r="M205" s="253"/>
      <c r="N205" s="253"/>
    </row>
    <row r="206" spans="2:14">
      <c r="B206" s="254">
        <f>+B204+1</f>
        <v>121</v>
      </c>
      <c r="C206" s="255"/>
      <c r="D206" s="312" t="s">
        <v>341</v>
      </c>
      <c r="E206" s="340" t="str">
        <f>"(ln "&amp;B198&amp;" * ln "&amp;B213&amp;")"</f>
        <v>(ln 114 * ln 126)</v>
      </c>
      <c r="F206" s="342"/>
      <c r="G206" s="266">
        <f>+G198*G213</f>
        <v>156046693.87983581</v>
      </c>
      <c r="H206" s="68"/>
      <c r="I206" s="280"/>
      <c r="J206" s="341"/>
      <c r="K206" s="266"/>
      <c r="L206" s="266">
        <f>+L213*G198</f>
        <v>55920740.124593437</v>
      </c>
      <c r="M206" s="253"/>
      <c r="N206" s="253"/>
    </row>
    <row r="207" spans="2:14">
      <c r="B207" s="254">
        <f>+B206+1</f>
        <v>122</v>
      </c>
      <c r="C207" s="255"/>
      <c r="D207" s="246" t="s">
        <v>342</v>
      </c>
      <c r="E207" s="340" t="str">
        <f>"(ln "&amp;B201&amp;" * ln "&amp;B202&amp;")"</f>
        <v>(ln 117 * ln 118)</v>
      </c>
      <c r="F207" s="340"/>
      <c r="G207" s="266">
        <f>G201*G202</f>
        <v>-15160.343025680784</v>
      </c>
      <c r="H207" s="68"/>
      <c r="I207" s="267" t="s">
        <v>754</v>
      </c>
      <c r="J207" s="268">
        <f>J77</f>
        <v>0.2708192013666253</v>
      </c>
      <c r="K207" s="266"/>
      <c r="L207" s="266">
        <f>+G207*J207</f>
        <v>-4105.7119906589578</v>
      </c>
      <c r="M207" s="253"/>
      <c r="N207" s="253"/>
    </row>
    <row r="208" spans="2:14">
      <c r="B208" s="254">
        <f>B207+1</f>
        <v>123</v>
      </c>
      <c r="C208" s="255"/>
      <c r="D208" s="246" t="s">
        <v>532</v>
      </c>
      <c r="E208" s="340" t="str">
        <f>"(ln "&amp;B201&amp;" * ln "&amp;B203&amp;")"</f>
        <v>(ln 117 * ln 119)</v>
      </c>
      <c r="F208" s="340"/>
      <c r="G208" s="266">
        <f>G203*G201</f>
        <v>-20772221.712964661</v>
      </c>
      <c r="H208" s="68"/>
      <c r="I208" s="282"/>
      <c r="J208" s="268"/>
      <c r="K208" s="266"/>
      <c r="L208" s="266">
        <f>L203*G201</f>
        <v>-6212846.4218616234</v>
      </c>
      <c r="M208" s="253"/>
      <c r="N208" s="253"/>
    </row>
    <row r="209" spans="2:14">
      <c r="B209" s="254">
        <f>B208+1</f>
        <v>124</v>
      </c>
      <c r="C209" s="255"/>
      <c r="D209" s="246" t="s">
        <v>744</v>
      </c>
      <c r="E209" s="340" t="str">
        <f>"(ln "&amp;B201&amp;" * ln "&amp;B204&amp;")"</f>
        <v>(ln 117 * ln 120)</v>
      </c>
      <c r="F209" s="340"/>
      <c r="G209" s="343">
        <f>G204*G201</f>
        <v>9784197.8999513201</v>
      </c>
      <c r="H209" s="68"/>
      <c r="I209" s="282"/>
      <c r="J209" s="268"/>
      <c r="K209" s="266"/>
      <c r="L209" s="343">
        <f>L204*G201</f>
        <v>3591589.4370786697</v>
      </c>
      <c r="M209" s="253"/>
      <c r="N209" s="253"/>
    </row>
    <row r="210" spans="2:14">
      <c r="B210" s="254"/>
      <c r="C210" s="255"/>
      <c r="E210" s="340"/>
      <c r="F210" s="340"/>
      <c r="G210" s="266"/>
      <c r="H210" s="68"/>
      <c r="I210" s="282"/>
      <c r="J210" s="268"/>
      <c r="K210" s="266"/>
      <c r="L210" s="266"/>
      <c r="M210" s="253"/>
      <c r="N210" s="253"/>
    </row>
    <row r="211" spans="2:14">
      <c r="B211" s="254">
        <f>+B209+1</f>
        <v>125</v>
      </c>
      <c r="C211" s="255"/>
      <c r="D211" s="312" t="s">
        <v>35</v>
      </c>
      <c r="E211" s="253" t="str">
        <f>"(sum lns "&amp;B206&amp;" to "&amp;B209&amp;")"</f>
        <v>(sum lns 121 to 124)</v>
      </c>
      <c r="F211" s="340"/>
      <c r="G211" s="282">
        <f>SUM(G206:G209)</f>
        <v>145043509.72379678</v>
      </c>
      <c r="H211" s="68"/>
      <c r="I211" s="280" t="s">
        <v>114</v>
      </c>
      <c r="J211" s="344"/>
      <c r="K211" s="266"/>
      <c r="L211" s="282">
        <f>SUM(L206:L209)</f>
        <v>53295377.427819818</v>
      </c>
      <c r="M211" s="253"/>
      <c r="N211" s="253"/>
    </row>
    <row r="212" spans="2:14">
      <c r="B212" s="254"/>
      <c r="C212" s="255"/>
      <c r="D212" s="250"/>
      <c r="E212" s="253"/>
      <c r="F212" s="253"/>
      <c r="G212" s="253"/>
      <c r="H212" s="253"/>
      <c r="I212" s="267"/>
      <c r="J212" s="325"/>
      <c r="K212" s="253"/>
      <c r="L212" s="253"/>
      <c r="M212" s="253"/>
      <c r="N212" s="253"/>
    </row>
    <row r="213" spans="2:14">
      <c r="B213" s="254">
        <f>+B211+1</f>
        <v>126</v>
      </c>
      <c r="C213" s="255"/>
      <c r="D213" s="312" t="s">
        <v>199</v>
      </c>
      <c r="E213" s="312" t="str">
        <f>"(ln "&amp;B131&amp;" * ln "&amp;B274&amp;")"</f>
        <v>(ln 68 * ln 157)</v>
      </c>
      <c r="F213" s="308"/>
      <c r="G213" s="266">
        <f>+$L274*G131</f>
        <v>747331879.3338753</v>
      </c>
      <c r="H213" s="253"/>
      <c r="I213" s="280"/>
      <c r="J213" s="266"/>
      <c r="K213" s="266"/>
      <c r="L213" s="266">
        <f>+L274*L131</f>
        <v>267813119.08623457</v>
      </c>
      <c r="M213" s="253"/>
      <c r="N213" s="327"/>
    </row>
    <row r="214" spans="2:14">
      <c r="B214" s="254"/>
      <c r="C214" s="255"/>
      <c r="D214" s="312"/>
      <c r="G214" s="266"/>
      <c r="H214" s="266"/>
      <c r="I214" s="280"/>
      <c r="J214" s="280"/>
      <c r="K214" s="266"/>
      <c r="L214" s="266"/>
      <c r="M214" s="253"/>
    </row>
    <row r="215" spans="2:14">
      <c r="B215" s="254">
        <f>+B213+1</f>
        <v>127</v>
      </c>
      <c r="C215" s="255"/>
      <c r="D215" s="345" t="s">
        <v>99</v>
      </c>
      <c r="F215" s="297"/>
      <c r="G215" s="266">
        <f>-'WS D IPP Credits'!C13</f>
        <v>0</v>
      </c>
      <c r="H215" s="266"/>
      <c r="I215" s="314" t="s">
        <v>129</v>
      </c>
      <c r="J215" s="268">
        <v>1</v>
      </c>
      <c r="K215" s="300"/>
      <c r="L215" s="266">
        <f>+J215*G215</f>
        <v>0</v>
      </c>
      <c r="M215" s="299"/>
    </row>
    <row r="216" spans="2:14">
      <c r="B216" s="254"/>
      <c r="C216" s="255"/>
      <c r="D216" s="345"/>
      <c r="F216" s="297"/>
      <c r="G216" s="266"/>
      <c r="H216" s="266"/>
      <c r="I216" s="314"/>
      <c r="J216" s="268"/>
      <c r="K216" s="300"/>
      <c r="L216" s="266"/>
      <c r="M216" s="299"/>
    </row>
    <row r="217" spans="2:14">
      <c r="B217" s="254">
        <f>+B215+1</f>
        <v>128</v>
      </c>
      <c r="C217" s="255"/>
      <c r="D217" s="345" t="str">
        <f>"(Gains) / Losses on Sales of Plant Held for Future Use (Worksheet N, ln "&amp;'WS N - Sale of Plant Held'!A33&amp;", Cols. ("&amp;'WS N - Sale of Plant Held'!O12&amp;" &amp; "&amp;'WS N - Sale of Plant Held'!S12&amp;")"</f>
        <v>(Gains) / Losses on Sales of Plant Held for Future Use (Worksheet N, ln 4, Cols. ((F) &amp; (H))</v>
      </c>
      <c r="F217" s="297"/>
      <c r="G217" s="266">
        <f>+'WS N - Sale of Plant Held'!O33</f>
        <v>0</v>
      </c>
      <c r="H217" s="266"/>
      <c r="I217" s="314"/>
      <c r="J217" s="268"/>
      <c r="K217" s="300"/>
      <c r="L217" s="266">
        <f>'WS N - Sale of Plant Held'!S33</f>
        <v>0</v>
      </c>
      <c r="M217" s="299"/>
    </row>
    <row r="218" spans="2:14">
      <c r="B218" s="254"/>
      <c r="C218" s="255"/>
      <c r="D218" s="345"/>
      <c r="F218" s="297"/>
      <c r="G218" s="266"/>
      <c r="H218" s="266"/>
      <c r="I218" s="314"/>
      <c r="J218" s="268"/>
      <c r="K218" s="300"/>
      <c r="L218" s="266"/>
      <c r="M218" s="299"/>
    </row>
    <row r="219" spans="2:14">
      <c r="B219" s="254">
        <f>+B217+1</f>
        <v>129</v>
      </c>
      <c r="C219" s="255"/>
      <c r="D219" s="345" t="str">
        <f>" Tax Impact on Net Loss / (Gain) on Sales of Plant Held for Future Use (ln "&amp;B217&amp;" * ln"&amp;B198&amp;")"</f>
        <v xml:space="preserve"> Tax Impact on Net Loss / (Gain) on Sales of Plant Held for Future Use (ln 128 * ln114)</v>
      </c>
      <c r="F219" s="297"/>
      <c r="G219" s="266">
        <f>-+G198*G217</f>
        <v>0</v>
      </c>
      <c r="H219" s="266"/>
      <c r="I219" s="314"/>
      <c r="J219" s="268"/>
      <c r="K219" s="300"/>
      <c r="L219" s="266">
        <f>L217*-G198</f>
        <v>0</v>
      </c>
      <c r="M219" s="299"/>
    </row>
    <row r="220" spans="2:14" ht="15.75" thickBot="1">
      <c r="B220" s="254"/>
      <c r="C220" s="255"/>
      <c r="D220" s="250"/>
      <c r="G220" s="301"/>
      <c r="H220" s="346"/>
      <c r="I220" s="280"/>
      <c r="J220" s="280"/>
      <c r="K220" s="266"/>
      <c r="L220" s="301"/>
      <c r="M220" s="253"/>
    </row>
    <row r="221" spans="2:14" ht="15.75" thickBot="1">
      <c r="B221" s="254">
        <f>+B219+1</f>
        <v>130</v>
      </c>
      <c r="C221" s="255"/>
      <c r="D221" s="246" t="s">
        <v>249</v>
      </c>
      <c r="G221" s="347">
        <f>+G215+G213+G211+G194+G185+G176+G217+G219</f>
        <v>1803495686.3805082</v>
      </c>
      <c r="L221" s="347">
        <f>+L215+L213+L211+L194+L185+L176+L217+L219</f>
        <v>565575126.85593212</v>
      </c>
      <c r="M221" s="253"/>
    </row>
    <row r="222" spans="2:14" ht="15.75" thickTop="1">
      <c r="B222" s="254"/>
      <c r="C222" s="255"/>
      <c r="D222" s="250" t="str">
        <f>"    (sum lns "&amp;B176&amp;", "&amp;B185&amp;", "&amp;B194&amp;", "&amp;B211&amp;", "&amp;B213&amp;", "&amp;B215&amp;", "&amp;B217&amp;", "&amp;B219&amp;")"</f>
        <v xml:space="preserve">    (sum lns 96, 103, 111, 125, 126, 127, 128, 129)</v>
      </c>
      <c r="F222" s="262"/>
      <c r="M222" s="253"/>
    </row>
    <row r="223" spans="2:14">
      <c r="B223" s="254"/>
      <c r="C223" s="255"/>
      <c r="F223" s="262"/>
      <c r="M223" s="253"/>
    </row>
    <row r="224" spans="2:14">
      <c r="B224" s="254"/>
      <c r="C224" s="255"/>
      <c r="D224" s="250"/>
      <c r="F224" s="317" t="str">
        <f>F134</f>
        <v xml:space="preserve">AEP East Companies </v>
      </c>
      <c r="M224" s="316"/>
    </row>
    <row r="225" spans="2:15">
      <c r="B225" s="254"/>
      <c r="C225" s="255"/>
      <c r="D225" s="250"/>
      <c r="F225" s="317" t="str">
        <f>F135</f>
        <v>Transmission Cost of Service Formula Rate</v>
      </c>
      <c r="M225" s="316"/>
    </row>
    <row r="226" spans="2:15">
      <c r="B226" s="246"/>
      <c r="C226" s="255"/>
      <c r="F226" s="317" t="str">
        <f>F136</f>
        <v>Utilizing  Actual/Projected FERC Form 1 Data</v>
      </c>
      <c r="M226" s="285"/>
    </row>
    <row r="227" spans="2:15">
      <c r="B227" s="254"/>
      <c r="C227" s="255"/>
      <c r="E227" s="317"/>
      <c r="F227" s="317"/>
      <c r="G227" s="317"/>
      <c r="H227" s="317"/>
      <c r="I227" s="317"/>
      <c r="J227" s="317"/>
      <c r="K227" s="317"/>
      <c r="M227" s="253"/>
    </row>
    <row r="228" spans="2:15">
      <c r="B228" s="254"/>
      <c r="C228" s="255"/>
      <c r="E228" s="250"/>
      <c r="F228" s="317" t="str">
        <f>F138</f>
        <v>Appalachian Power Company</v>
      </c>
      <c r="G228" s="250"/>
      <c r="H228" s="250"/>
      <c r="I228" s="250"/>
      <c r="J228" s="250"/>
      <c r="K228" s="250"/>
      <c r="L228" s="250"/>
      <c r="M228" s="250"/>
    </row>
    <row r="229" spans="2:15">
      <c r="B229" s="254"/>
      <c r="C229" s="255"/>
      <c r="E229" s="250"/>
      <c r="F229" s="317"/>
      <c r="G229" s="250"/>
      <c r="H229" s="250"/>
      <c r="I229" s="250"/>
      <c r="J229" s="250"/>
      <c r="K229" s="250"/>
      <c r="L229" s="250"/>
      <c r="M229" s="250"/>
    </row>
    <row r="230" spans="2:15" ht="15.75">
      <c r="B230" s="254"/>
      <c r="C230" s="255"/>
      <c r="F230" s="318" t="s">
        <v>40</v>
      </c>
      <c r="H230" s="250"/>
      <c r="I230" s="250"/>
      <c r="J230" s="250"/>
      <c r="K230" s="250"/>
      <c r="L230" s="250"/>
      <c r="M230" s="253"/>
    </row>
    <row r="231" spans="2:15" ht="15.75">
      <c r="B231" s="254"/>
      <c r="C231" s="255"/>
      <c r="D231" s="348"/>
      <c r="E231" s="250"/>
      <c r="F231" s="250"/>
      <c r="G231" s="250"/>
      <c r="H231" s="250"/>
      <c r="I231" s="250"/>
      <c r="J231" s="250"/>
      <c r="K231" s="250"/>
      <c r="L231" s="250"/>
      <c r="M231" s="253"/>
    </row>
    <row r="232" spans="2:15" ht="15.75">
      <c r="B232" s="254" t="s">
        <v>116</v>
      </c>
      <c r="C232" s="255"/>
      <c r="D232" s="348"/>
      <c r="E232" s="250"/>
      <c r="F232" s="250"/>
      <c r="G232" s="250"/>
      <c r="H232" s="250"/>
      <c r="I232" s="250"/>
      <c r="J232" s="250"/>
      <c r="K232" s="250"/>
      <c r="L232" s="250"/>
      <c r="M232" s="253"/>
    </row>
    <row r="233" spans="2:15" ht="15.75" thickBot="1">
      <c r="B233" s="260" t="s">
        <v>117</v>
      </c>
      <c r="C233" s="255"/>
      <c r="D233" s="250" t="s">
        <v>221</v>
      </c>
      <c r="E233" s="250"/>
      <c r="F233" s="250"/>
      <c r="G233" s="250"/>
      <c r="H233" s="250"/>
      <c r="I233" s="250"/>
      <c r="J233" s="250"/>
      <c r="M233" s="253"/>
      <c r="O233"/>
    </row>
    <row r="234" spans="2:15">
      <c r="B234" s="254">
        <f>+B221+1</f>
        <v>131</v>
      </c>
      <c r="C234" s="255"/>
      <c r="D234" s="250" t="s">
        <v>166</v>
      </c>
      <c r="E234" s="349" t="str">
        <f>"(ln "&amp;B68&amp;")"</f>
        <v>(ln 21)</v>
      </c>
      <c r="F234" s="250"/>
      <c r="H234" s="253"/>
      <c r="I234" s="253"/>
      <c r="J234" s="253"/>
      <c r="K234" s="253"/>
      <c r="L234" s="266">
        <f>+G68</f>
        <v>5116271373.7061539</v>
      </c>
      <c r="M234" s="253"/>
      <c r="O234"/>
    </row>
    <row r="235" spans="2:15">
      <c r="B235" s="254">
        <f>+B234+1</f>
        <v>132</v>
      </c>
      <c r="C235" s="255"/>
      <c r="D235" s="250" t="str">
        <f>"  Less transmission plant excluded from PJM Tariff  (Worksheet A, ln "&amp;'WS A - RB Support'!A62&amp;", Col. "&amp;'WS A - RB Support'!E47&amp;") (Note P)"</f>
        <v xml:space="preserve">  Less transmission plant excluded from PJM Tariff  (Worksheet A, ln 42, Col. (d)) (Note P)</v>
      </c>
      <c r="G235" s="317"/>
      <c r="L235" s="613">
        <f>'WS A - RB Support'!E62</f>
        <v>300103.47923077014</v>
      </c>
      <c r="M235" s="253"/>
      <c r="O235"/>
    </row>
    <row r="236" spans="2:15" ht="15.75" thickBot="1">
      <c r="B236" s="254">
        <f>+B235+1</f>
        <v>133</v>
      </c>
      <c r="C236" s="255"/>
      <c r="D236" s="250" t="str">
        <f>"  Less transmission plant included in OATT Ancillary Services (Worksheet A, ln "&amp;'WS A - RB Support'!A62&amp;", Col. "&amp;'WS A - RB Support'!C47&amp;")  (Note Q)"</f>
        <v xml:space="preserve">  Less transmission plant included in OATT Ancillary Services (Worksheet A, ln 42, Col. (b))  (Note Q)</v>
      </c>
      <c r="E236" s="250"/>
      <c r="F236" s="250"/>
      <c r="G236" s="267"/>
      <c r="H236" s="253"/>
      <c r="I236" s="253"/>
      <c r="J236" s="267"/>
      <c r="K236" s="253"/>
      <c r="L236" s="350">
        <f>'WS A - RB Support'!C62</f>
        <v>82627193.210769206</v>
      </c>
      <c r="M236" s="253"/>
      <c r="O236"/>
    </row>
    <row r="237" spans="2:15">
      <c r="B237" s="254">
        <f>+B236+1</f>
        <v>134</v>
      </c>
      <c r="C237" s="255"/>
      <c r="D237" s="250" t="s">
        <v>222</v>
      </c>
      <c r="E237" s="264" t="str">
        <f>"(ln "&amp;B234&amp;" - ln "&amp;B235&amp;" - ln "&amp;B236&amp;")"</f>
        <v>(ln 131 - ln 132 - ln 133)</v>
      </c>
      <c r="F237" s="250"/>
      <c r="H237" s="253"/>
      <c r="I237" s="253"/>
      <c r="J237" s="267"/>
      <c r="K237" s="253"/>
      <c r="L237" s="266">
        <f>L234-L235-L236</f>
        <v>5033344077.0161533</v>
      </c>
      <c r="M237" s="253"/>
      <c r="O237"/>
    </row>
    <row r="238" spans="2:15">
      <c r="B238" s="254"/>
      <c r="C238" s="255"/>
      <c r="E238" s="250"/>
      <c r="F238" s="250"/>
      <c r="G238" s="267"/>
      <c r="H238" s="253"/>
      <c r="I238" s="253"/>
      <c r="J238" s="267"/>
      <c r="K238" s="253"/>
      <c r="M238" s="253"/>
      <c r="O238"/>
    </row>
    <row r="239" spans="2:15" ht="15.75">
      <c r="B239" s="254">
        <f>+B237+1</f>
        <v>135</v>
      </c>
      <c r="C239" s="255"/>
      <c r="D239" s="250" t="s">
        <v>223</v>
      </c>
      <c r="E239" s="255" t="str">
        <f>"(ln "&amp;B237&amp;" / ln "&amp;B234&amp;")"</f>
        <v>(ln 134 / ln 131)</v>
      </c>
      <c r="F239" s="258"/>
      <c r="H239" s="258"/>
      <c r="I239" s="256"/>
      <c r="J239" s="256"/>
      <c r="K239" s="294" t="s">
        <v>143</v>
      </c>
      <c r="L239" s="351">
        <f>IF(L234&gt;0,L237/L234,0)</f>
        <v>0.98379145853830474</v>
      </c>
      <c r="M239" s="253"/>
      <c r="O239"/>
    </row>
    <row r="240" spans="2:15" ht="15.75">
      <c r="B240" s="254"/>
      <c r="C240" s="255"/>
      <c r="D240" s="348"/>
      <c r="E240" s="250"/>
      <c r="F240" s="250"/>
      <c r="G240" s="253"/>
      <c r="H240" s="250"/>
      <c r="I240" s="255"/>
      <c r="J240" s="250"/>
      <c r="K240" s="250"/>
      <c r="L240" s="250"/>
      <c r="M240" s="253"/>
    </row>
    <row r="241" spans="2:13">
      <c r="B241" s="254" t="s">
        <v>1439</v>
      </c>
      <c r="C241" s="255"/>
      <c r="D241" s="250" t="s">
        <v>1440</v>
      </c>
      <c r="E241" s="250"/>
      <c r="F241" s="250"/>
      <c r="G241" s="253"/>
      <c r="H241" s="250"/>
      <c r="I241" s="255"/>
      <c r="J241" s="250"/>
      <c r="K241" s="250"/>
      <c r="L241" s="250"/>
      <c r="M241" s="253"/>
    </row>
    <row r="242" spans="2:13" ht="15.75">
      <c r="B242" s="254" t="s">
        <v>1441</v>
      </c>
      <c r="C242" s="255"/>
      <c r="D242" s="348" t="s">
        <v>1442</v>
      </c>
      <c r="E242" s="250" t="s">
        <v>1443</v>
      </c>
      <c r="F242" s="250"/>
      <c r="G242" s="253"/>
      <c r="H242" s="250"/>
      <c r="I242" s="255"/>
      <c r="J242" s="250"/>
      <c r="K242" s="250"/>
      <c r="L242" s="266">
        <f>G75</f>
        <v>5285768.1230769213</v>
      </c>
      <c r="M242" s="253"/>
    </row>
    <row r="243" spans="2:13" ht="15.75">
      <c r="B243" s="254" t="s">
        <v>1444</v>
      </c>
      <c r="C243" s="255"/>
      <c r="D243" s="348" t="s">
        <v>1445</v>
      </c>
      <c r="E243" s="253" t="s">
        <v>1446</v>
      </c>
      <c r="F243" s="250"/>
      <c r="G243" s="253"/>
      <c r="H243" s="250"/>
      <c r="I243" s="255"/>
      <c r="J243" s="250"/>
      <c r="K243" s="250"/>
      <c r="L243" s="266">
        <f>'WS A - RB Support'!G62</f>
        <v>5285768.1230769213</v>
      </c>
      <c r="M243" s="253"/>
    </row>
    <row r="244" spans="2:13" ht="15.75">
      <c r="B244" s="254" t="s">
        <v>1447</v>
      </c>
      <c r="C244" s="255"/>
      <c r="D244" s="348" t="s">
        <v>1448</v>
      </c>
      <c r="E244" s="250" t="s">
        <v>1449</v>
      </c>
      <c r="F244" s="250"/>
      <c r="G244" s="253"/>
      <c r="H244" s="250"/>
      <c r="I244" s="255"/>
      <c r="J244" s="250"/>
      <c r="K244" s="250"/>
      <c r="L244" s="266">
        <f>L242-L243</f>
        <v>0</v>
      </c>
      <c r="M244" s="253"/>
    </row>
    <row r="245" spans="2:13" ht="15.75">
      <c r="B245" s="254"/>
      <c r="C245" s="255"/>
      <c r="D245" s="348"/>
      <c r="E245" s="250"/>
      <c r="F245" s="250"/>
      <c r="G245" s="253"/>
      <c r="H245" s="250"/>
      <c r="I245" s="255"/>
      <c r="J245" s="250"/>
      <c r="K245" s="250"/>
      <c r="L245" s="250"/>
      <c r="M245" s="253"/>
    </row>
    <row r="246" spans="2:13" ht="15.75">
      <c r="B246" s="254" t="s">
        <v>1450</v>
      </c>
      <c r="C246" s="255"/>
      <c r="D246" s="250" t="s">
        <v>1451</v>
      </c>
      <c r="E246" s="250" t="s">
        <v>1452</v>
      </c>
      <c r="F246" s="250"/>
      <c r="G246" s="253"/>
      <c r="H246" s="250"/>
      <c r="I246" s="255"/>
      <c r="J246" s="250"/>
      <c r="K246" s="250" t="s">
        <v>1453</v>
      </c>
      <c r="L246" s="348">
        <f>IFERROR(L244/L242,1)</f>
        <v>0</v>
      </c>
      <c r="M246" s="253"/>
    </row>
    <row r="247" spans="2:13" ht="15.75">
      <c r="B247" s="254"/>
      <c r="C247" s="255"/>
      <c r="D247" s="250"/>
      <c r="E247" s="250"/>
      <c r="F247" s="250"/>
      <c r="G247" s="253"/>
      <c r="H247" s="250"/>
      <c r="I247" s="255"/>
      <c r="J247" s="250"/>
      <c r="K247" s="250"/>
      <c r="L247" s="348"/>
      <c r="M247" s="253"/>
    </row>
    <row r="248" spans="2:13" ht="30">
      <c r="B248" s="254">
        <f>B239+1</f>
        <v>136</v>
      </c>
      <c r="C248" s="255"/>
      <c r="D248" s="250" t="s">
        <v>41</v>
      </c>
      <c r="E248" s="267" t="s">
        <v>343</v>
      </c>
      <c r="F248" s="267" t="s">
        <v>184</v>
      </c>
      <c r="G248" s="352" t="s">
        <v>214</v>
      </c>
      <c r="H248" s="317" t="s">
        <v>118</v>
      </c>
      <c r="I248" s="267"/>
      <c r="J248" s="253"/>
      <c r="K248" s="253"/>
      <c r="L248" s="253"/>
      <c r="M248" s="253"/>
    </row>
    <row r="249" spans="2:13">
      <c r="B249" s="254">
        <f t="shared" ref="B249:B255" si="12">+B248+1</f>
        <v>137</v>
      </c>
      <c r="C249" s="255"/>
      <c r="D249" s="250" t="s">
        <v>126</v>
      </c>
      <c r="E249" s="253" t="s">
        <v>431</v>
      </c>
      <c r="F249" s="615">
        <v>56654677</v>
      </c>
      <c r="G249" s="615">
        <v>23106085</v>
      </c>
      <c r="H249" s="295">
        <f>+F249+G249</f>
        <v>79760762</v>
      </c>
      <c r="I249" s="267" t="s">
        <v>127</v>
      </c>
      <c r="J249" s="268">
        <v>0</v>
      </c>
      <c r="K249" s="353"/>
      <c r="L249" s="266">
        <f>(F249+G249)*J249</f>
        <v>0</v>
      </c>
      <c r="M249" s="253"/>
    </row>
    <row r="250" spans="2:13">
      <c r="B250" s="254">
        <f t="shared" si="12"/>
        <v>138</v>
      </c>
      <c r="C250" s="255"/>
      <c r="D250" s="250" t="s">
        <v>128</v>
      </c>
      <c r="E250" s="253" t="s">
        <v>12</v>
      </c>
      <c r="F250" s="615">
        <v>348244</v>
      </c>
      <c r="G250" s="615">
        <v>20560135</v>
      </c>
      <c r="H250" s="295">
        <f>+F250+G250</f>
        <v>20908379</v>
      </c>
      <c r="I250" s="255" t="s">
        <v>120</v>
      </c>
      <c r="J250" s="268">
        <f>L239</f>
        <v>0.98379145853830474</v>
      </c>
      <c r="K250" s="353"/>
      <c r="L250" s="266">
        <f>(F250+G250)*J250</f>
        <v>20569484.67208166</v>
      </c>
      <c r="M250" s="253"/>
    </row>
    <row r="251" spans="2:13">
      <c r="B251" s="254">
        <f t="shared" si="12"/>
        <v>139</v>
      </c>
      <c r="C251" s="255"/>
      <c r="D251" s="250" t="s">
        <v>226</v>
      </c>
      <c r="E251" s="253" t="s">
        <v>466</v>
      </c>
      <c r="F251" s="615">
        <v>0</v>
      </c>
      <c r="G251" s="615">
        <v>0</v>
      </c>
      <c r="H251" s="295">
        <f>+F251+G251</f>
        <v>0</v>
      </c>
      <c r="I251" s="267" t="s">
        <v>127</v>
      </c>
      <c r="J251" s="268">
        <v>0</v>
      </c>
      <c r="K251" s="353"/>
      <c r="L251" s="266">
        <f>(F251+G251)*J251</f>
        <v>0</v>
      </c>
      <c r="M251" s="253"/>
    </row>
    <row r="252" spans="2:13">
      <c r="B252" s="254" t="s">
        <v>1464</v>
      </c>
      <c r="C252" s="255"/>
      <c r="D252" s="250" t="s">
        <v>1424</v>
      </c>
      <c r="E252" s="253" t="s">
        <v>1465</v>
      </c>
      <c r="F252" s="1212"/>
      <c r="G252" s="1212"/>
      <c r="H252" s="295">
        <f t="shared" ref="H252" si="13">+F252+G252</f>
        <v>0</v>
      </c>
      <c r="I252" s="267" t="s">
        <v>1438</v>
      </c>
      <c r="J252" s="268">
        <f>L246</f>
        <v>0</v>
      </c>
      <c r="K252" s="353"/>
      <c r="L252" s="266">
        <f t="shared" ref="L252" si="14">(F252+G252)*J252</f>
        <v>0</v>
      </c>
      <c r="M252" s="253"/>
    </row>
    <row r="253" spans="2:13">
      <c r="B253" s="254">
        <f>+B251+1</f>
        <v>140</v>
      </c>
      <c r="C253" s="255"/>
      <c r="D253" s="250" t="s">
        <v>130</v>
      </c>
      <c r="E253" s="253" t="s">
        <v>429</v>
      </c>
      <c r="F253" s="615">
        <v>49366698</v>
      </c>
      <c r="G253" s="615">
        <v>5582922</v>
      </c>
      <c r="H253" s="295">
        <f>+F253+G253</f>
        <v>54949620</v>
      </c>
      <c r="I253" s="267" t="s">
        <v>127</v>
      </c>
      <c r="J253" s="268">
        <v>0</v>
      </c>
      <c r="K253" s="353"/>
      <c r="L253" s="266">
        <f>(F253+G253)*J253</f>
        <v>0</v>
      </c>
      <c r="M253" s="253"/>
    </row>
    <row r="254" spans="2:13" ht="15.75" thickBot="1">
      <c r="B254" s="254">
        <f t="shared" si="12"/>
        <v>141</v>
      </c>
      <c r="C254" s="255"/>
      <c r="D254" s="250" t="s">
        <v>201</v>
      </c>
      <c r="E254" s="253" t="s">
        <v>430</v>
      </c>
      <c r="F254" s="616">
        <v>6118649</v>
      </c>
      <c r="G254" s="616">
        <v>10591134</v>
      </c>
      <c r="H254" s="354">
        <f>+F254+G254</f>
        <v>16709783</v>
      </c>
      <c r="I254" s="267" t="s">
        <v>127</v>
      </c>
      <c r="J254" s="268">
        <v>0</v>
      </c>
      <c r="K254" s="353"/>
      <c r="L254" s="301">
        <f>(F254+G254)*J254</f>
        <v>0</v>
      </c>
      <c r="M254" s="253"/>
    </row>
    <row r="255" spans="2:13" ht="15.75">
      <c r="B255" s="254">
        <f t="shared" si="12"/>
        <v>142</v>
      </c>
      <c r="C255" s="255"/>
      <c r="D255" s="250" t="s">
        <v>118</v>
      </c>
      <c r="E255" s="250" t="str">
        <f>"(sum lns "&amp;B249&amp;" to "&amp;B254&amp;")"</f>
        <v>(sum lns 137 to 141)</v>
      </c>
      <c r="F255" s="253">
        <f>SUM(F249:F254)</f>
        <v>112488268</v>
      </c>
      <c r="G255" s="253">
        <f>SUM(G249:G254)</f>
        <v>59840276</v>
      </c>
      <c r="H255" s="253">
        <f>SUM(H249:H254)</f>
        <v>172328544</v>
      </c>
      <c r="I255" s="267"/>
      <c r="J255" s="253"/>
      <c r="K255" s="253"/>
      <c r="L255" s="266">
        <f>SUM(L249:L254)</f>
        <v>20569484.67208166</v>
      </c>
      <c r="M255" s="289"/>
    </row>
    <row r="256" spans="2:13">
      <c r="B256" s="254"/>
      <c r="C256" s="255"/>
      <c r="D256" s="250" t="s">
        <v>114</v>
      </c>
      <c r="E256" s="253" t="s">
        <v>114</v>
      </c>
      <c r="F256" s="253"/>
      <c r="H256" s="253"/>
      <c r="I256" s="317"/>
    </row>
    <row r="257" spans="2:20" ht="15.75">
      <c r="B257" s="254">
        <f>B255+1</f>
        <v>143</v>
      </c>
      <c r="C257" s="255"/>
      <c r="D257" s="250" t="s">
        <v>42</v>
      </c>
      <c r="E257" s="253"/>
      <c r="F257" s="253"/>
      <c r="G257" s="253"/>
      <c r="H257" s="253"/>
      <c r="I257" s="317"/>
      <c r="K257" s="355" t="s">
        <v>43</v>
      </c>
      <c r="L257" s="356">
        <f>L255/(F255+G255)</f>
        <v>0.11936202903264627</v>
      </c>
    </row>
    <row r="258" spans="2:20">
      <c r="B258" s="254"/>
      <c r="C258" s="255"/>
      <c r="D258" s="250"/>
      <c r="E258" s="253"/>
      <c r="F258" s="253"/>
      <c r="G258" s="253"/>
      <c r="H258" s="253"/>
      <c r="I258" s="267"/>
      <c r="J258" s="253"/>
      <c r="K258" s="253"/>
      <c r="L258" s="253"/>
      <c r="M258" s="253"/>
    </row>
    <row r="259" spans="2:20" ht="15.75">
      <c r="B259" s="254"/>
      <c r="C259" s="255"/>
      <c r="D259" s="250"/>
      <c r="E259" s="262"/>
      <c r="F259" s="253"/>
      <c r="H259" s="253"/>
      <c r="I259" s="253"/>
      <c r="J259" s="253"/>
      <c r="K259" s="294"/>
      <c r="L259" s="357"/>
      <c r="M259" s="253"/>
    </row>
    <row r="260" spans="2:20" ht="15.75" thickBot="1">
      <c r="B260" s="254">
        <f>+B257+1</f>
        <v>144</v>
      </c>
      <c r="C260" s="255"/>
      <c r="D260" s="250" t="s">
        <v>198</v>
      </c>
      <c r="E260" s="253"/>
      <c r="F260" s="253"/>
      <c r="G260" s="253"/>
      <c r="H260" s="253"/>
      <c r="I260" s="253"/>
      <c r="J260" s="253"/>
      <c r="K260" s="253"/>
      <c r="L260" s="358" t="s">
        <v>144</v>
      </c>
      <c r="M260" s="253"/>
    </row>
    <row r="261" spans="2:20">
      <c r="B261" s="254">
        <f t="shared" ref="B261:B268" si="15">+B260+1</f>
        <v>145</v>
      </c>
      <c r="C261" s="255"/>
      <c r="D261" s="253" t="s">
        <v>219</v>
      </c>
      <c r="E261" s="246" t="str">
        <f>"(Worksheet M, ln. "&amp;'WS M - Cost of Capital'!A56&amp;", col. "&amp;'WS M - Cost of Capital'!E47&amp;")"</f>
        <v>(Worksheet M, ln. 37, col. (d))</v>
      </c>
      <c r="F261" s="253"/>
      <c r="G261" s="253"/>
      <c r="H261" s="253"/>
      <c r="I261" s="253"/>
      <c r="J261" s="253"/>
      <c r="K261" s="253"/>
      <c r="L261" s="266">
        <f>'WS M - Cost of Capital'!E56</f>
        <v>281420342.49999994</v>
      </c>
      <c r="M261" s="253"/>
    </row>
    <row r="262" spans="2:20">
      <c r="B262" s="254">
        <f t="shared" si="15"/>
        <v>146</v>
      </c>
      <c r="C262" s="255"/>
      <c r="D262" s="253" t="s">
        <v>220</v>
      </c>
      <c r="E262" s="246" t="str">
        <f>"(Worksheet M, ln. "&amp;'WS M - Cost of Capital'!A103&amp;")"</f>
        <v>(Worksheet M, ln. 71)</v>
      </c>
      <c r="F262" s="253"/>
      <c r="G262" s="253"/>
      <c r="H262" s="253"/>
      <c r="I262" s="253"/>
      <c r="J262" s="253"/>
      <c r="K262" s="253"/>
      <c r="L262" s="266">
        <f>'WS M - Cost of Capital'!E103</f>
        <v>0</v>
      </c>
      <c r="M262" s="253"/>
    </row>
    <row r="263" spans="2:20">
      <c r="B263" s="254">
        <f t="shared" si="15"/>
        <v>147</v>
      </c>
      <c r="C263" s="255"/>
      <c r="D263" s="359" t="s">
        <v>242</v>
      </c>
      <c r="E263" s="253"/>
      <c r="F263" s="253"/>
      <c r="G263" s="253"/>
      <c r="H263"/>
      <c r="I263" s="253"/>
      <c r="J263" s="253"/>
      <c r="K263" s="253"/>
      <c r="L263" s="266"/>
      <c r="M263" s="253"/>
    </row>
    <row r="264" spans="2:20">
      <c r="B264" s="254">
        <f t="shared" si="15"/>
        <v>148</v>
      </c>
      <c r="C264" s="255"/>
      <c r="D264" s="253" t="s">
        <v>243</v>
      </c>
      <c r="E264" s="373" t="str">
        <f>"(Worksheet M, ln. "&amp;'WS M - Cost of Capital'!A23&amp;", col. "&amp;'WS M - Cost of Capital'!C8&amp;")"</f>
        <v>(Worksheet M, ln. 14, col. (b))</v>
      </c>
      <c r="F264" s="253"/>
      <c r="G264" s="250"/>
      <c r="H264" s="68"/>
      <c r="I264" s="253"/>
      <c r="J264" s="253"/>
      <c r="K264" s="253"/>
      <c r="L264" s="266">
        <f>'WS M - Cost of Capital'!C23</f>
        <v>5965012867.7912292</v>
      </c>
      <c r="M264" s="253"/>
    </row>
    <row r="265" spans="2:20">
      <c r="B265" s="254">
        <f t="shared" si="15"/>
        <v>149</v>
      </c>
      <c r="C265" s="255"/>
      <c r="D265" s="253" t="s">
        <v>368</v>
      </c>
      <c r="E265" s="373" t="str">
        <f>"(Worksheet M, ln. "&amp;'WS M - Cost of Capital'!A23&amp;", col. "&amp;'WS M - Cost of Capital'!D8&amp;")"</f>
        <v>(Worksheet M, ln. 14, col. (c))</v>
      </c>
      <c r="F265" s="253"/>
      <c r="G265" s="253"/>
      <c r="H265" s="68"/>
      <c r="I265" s="253"/>
      <c r="J265" s="253"/>
      <c r="K265" s="253"/>
      <c r="L265" s="295">
        <f>'WS M - Cost of Capital'!D23</f>
        <v>0</v>
      </c>
      <c r="M265" s="253"/>
    </row>
    <row r="266" spans="2:20">
      <c r="B266" s="254">
        <f>+B265+1</f>
        <v>150</v>
      </c>
      <c r="C266" s="255"/>
      <c r="D266" s="253" t="s">
        <v>361</v>
      </c>
      <c r="E266" s="373" t="str">
        <f>"(Worksheet M, ln. "&amp;'WS M - Cost of Capital'!A23&amp;", col. "&amp;'WS M - Cost of Capital'!E8&amp;")"</f>
        <v>(Worksheet M, ln. 14, col. (d))</v>
      </c>
      <c r="F266" s="253"/>
      <c r="G266" s="253"/>
      <c r="H266" s="68"/>
      <c r="I266" s="253"/>
      <c r="J266" s="253"/>
      <c r="K266" s="253"/>
      <c r="L266" s="295">
        <f>'WS M - Cost of Capital'!E23</f>
        <v>-3463212.6300000004</v>
      </c>
      <c r="M266" s="253"/>
    </row>
    <row r="267" spans="2:20" ht="15.75" thickBot="1">
      <c r="B267" s="254">
        <f t="shared" si="15"/>
        <v>151</v>
      </c>
      <c r="C267" s="255"/>
      <c r="D267" s="253" t="s">
        <v>367</v>
      </c>
      <c r="E267" s="373" t="str">
        <f>"(Worksheet M, ln. "&amp;'WS M - Cost of Capital'!A23&amp;", col. "&amp;'WS M - Cost of Capital'!F8&amp;")"</f>
        <v>(Worksheet M, ln. 14, col. (e))</v>
      </c>
      <c r="F267" s="253"/>
      <c r="G267" s="253"/>
      <c r="H267" s="68"/>
      <c r="I267" s="253"/>
      <c r="J267" s="313"/>
      <c r="K267" s="253"/>
      <c r="L267" s="354">
        <f>'WS M - Cost of Capital'!F23</f>
        <v>11639428.238461537</v>
      </c>
      <c r="M267" s="253"/>
    </row>
    <row r="268" spans="2:20">
      <c r="B268" s="254">
        <f t="shared" si="15"/>
        <v>152</v>
      </c>
      <c r="C268" s="255"/>
      <c r="D268" s="246" t="s">
        <v>244</v>
      </c>
      <c r="E268" s="253" t="str">
        <f>"(ln "&amp;B264&amp;" - ln "&amp;B265&amp;" - ln "&amp;B266&amp;" - ln "&amp;B267&amp;")"</f>
        <v>(ln 148 - ln 149 - ln 150 - ln 151)</v>
      </c>
      <c r="F268" s="262"/>
      <c r="H268" s="250"/>
      <c r="I268" s="250"/>
      <c r="J268" s="250"/>
      <c r="K268" s="250"/>
      <c r="L268" s="266">
        <f>+L264-L265-L266-L267</f>
        <v>5956836652.1827679</v>
      </c>
      <c r="M268" s="253"/>
    </row>
    <row r="269" spans="2:20" ht="15.75">
      <c r="B269" s="254"/>
      <c r="C269" s="255"/>
      <c r="D269" s="250"/>
      <c r="E269" s="253"/>
      <c r="F269" s="253"/>
      <c r="G269" s="1234" t="s">
        <v>943</v>
      </c>
      <c r="H269" s="1234"/>
      <c r="I269" s="331"/>
      <c r="J269" s="360" t="s">
        <v>145</v>
      </c>
      <c r="K269" s="253"/>
      <c r="L269" s="253"/>
      <c r="M269" s="253"/>
    </row>
    <row r="270" spans="2:20" ht="15.75" thickBot="1">
      <c r="B270" s="254">
        <f>+B268+1</f>
        <v>153</v>
      </c>
      <c r="C270" s="255"/>
      <c r="D270" s="250"/>
      <c r="F270" s="253"/>
      <c r="G270" s="261" t="s">
        <v>144</v>
      </c>
      <c r="H270" s="261" t="s">
        <v>146</v>
      </c>
      <c r="I270" s="358" t="s">
        <v>942</v>
      </c>
      <c r="J270" s="361" t="s">
        <v>427</v>
      </c>
      <c r="K270" s="253"/>
      <c r="L270" s="261" t="s">
        <v>147</v>
      </c>
      <c r="M270" s="253"/>
      <c r="N270" s="250"/>
      <c r="O270" s="250"/>
      <c r="P270" s="250"/>
      <c r="Q270" s="250"/>
      <c r="R270" s="250"/>
      <c r="S270" s="250"/>
      <c r="T270" s="250"/>
    </row>
    <row r="271" spans="2:20">
      <c r="B271" s="254">
        <f>+B270+1</f>
        <v>154</v>
      </c>
      <c r="C271" s="255"/>
      <c r="D271" s="373" t="str">
        <f>"  Long Term Debt  (Note T) Worksheet M, ln "&amp;'WS M - Cost of Capital'!A42&amp;", col. (g), ln "&amp;'WS M - Cost of Capital'!A58&amp;", col. "&amp;'WS M - Cost of Capital'!E47&amp;")"</f>
        <v xml:space="preserve">  Long Term Debt  (Note T) Worksheet M, ln 28, col. (g), ln 38, col. (d))</v>
      </c>
      <c r="E271" s="373"/>
      <c r="F271" s="253"/>
      <c r="G271" s="266">
        <f>'WS M - Cost of Capital'!H42</f>
        <v>5866247526.7630758</v>
      </c>
      <c r="H271" s="981">
        <f>IF($G$274&gt;0,G271/$G$274,0)</f>
        <v>0.49616897232360868</v>
      </c>
      <c r="I271" s="276">
        <f>IF(H273&gt;E276,1-I272-I273,H271)</f>
        <v>0.49616897232360868</v>
      </c>
      <c r="J271" s="313">
        <f>'WS M - Cost of Capital'!E58</f>
        <v>4.7972803945980823E-2</v>
      </c>
      <c r="L271" s="363">
        <f>I271*J271</f>
        <v>2.3802616833359266E-2</v>
      </c>
      <c r="M271" s="364"/>
      <c r="N271" s="250"/>
      <c r="O271" s="250"/>
      <c r="P271" s="250"/>
      <c r="Q271" s="250"/>
      <c r="R271" s="250"/>
      <c r="S271" s="250"/>
      <c r="T271" s="250"/>
    </row>
    <row r="272" spans="2:20">
      <c r="B272" s="254">
        <f>+B271+1</f>
        <v>155</v>
      </c>
      <c r="C272" s="255"/>
      <c r="D272" s="250" t="str">
        <f>"  Preferred Stock (ln "&amp;B265&amp;")"</f>
        <v xml:space="preserve">  Preferred Stock (ln 149)</v>
      </c>
      <c r="G272" s="266">
        <f>+L265</f>
        <v>0</v>
      </c>
      <c r="H272" s="276">
        <f>IF($G$274&gt;0,G272/$G$274,0)</f>
        <v>0</v>
      </c>
      <c r="I272" s="276">
        <f>H272</f>
        <v>0</v>
      </c>
      <c r="J272" s="362">
        <f>IF(G272&gt;0,L262/G272,0)</f>
        <v>0</v>
      </c>
      <c r="L272" s="365">
        <f>I272*J272</f>
        <v>0</v>
      </c>
      <c r="M272" s="253"/>
    </row>
    <row r="273" spans="2:20" ht="15.75" thickBot="1">
      <c r="B273" s="254">
        <f>+B272+1</f>
        <v>156</v>
      </c>
      <c r="C273" s="255"/>
      <c r="D273" s="250" t="str">
        <f>"  Common Stock (ln "&amp;B268&amp;")"</f>
        <v xml:space="preserve">  Common Stock (ln 152)</v>
      </c>
      <c r="G273" s="301">
        <f>+L268</f>
        <v>5956836652.1827679</v>
      </c>
      <c r="H273" s="276">
        <f>IF($G$274&gt;0,G273/$G$274,0)</f>
        <v>0.50383102767639132</v>
      </c>
      <c r="I273" s="276">
        <f>IF(H273&gt;E276,E276,H273)</f>
        <v>0.50383102767639132</v>
      </c>
      <c r="J273" s="617">
        <v>0.10349999999999999</v>
      </c>
      <c r="L273" s="366">
        <f>I273*J273</f>
        <v>5.2146511364506501E-2</v>
      </c>
      <c r="M273" s="253"/>
    </row>
    <row r="274" spans="2:20" ht="15.75">
      <c r="B274" s="254">
        <f>+B273+1</f>
        <v>157</v>
      </c>
      <c r="C274" s="255"/>
      <c r="D274" s="250" t="str">
        <f>" Total (Sum lns "&amp;B271&amp;" to "&amp;B273&amp;")"</f>
        <v xml:space="preserve"> Total (Sum lns 154 to 156)</v>
      </c>
      <c r="G274" s="266">
        <f>G273+G272+G271</f>
        <v>11823084178.945843</v>
      </c>
      <c r="I274" s="331"/>
      <c r="J274" s="367"/>
      <c r="K274" s="310" t="s">
        <v>25</v>
      </c>
      <c r="L274" s="368">
        <f>SUM(L271:L273)</f>
        <v>7.594912819786577E-2</v>
      </c>
      <c r="M274" s="369"/>
    </row>
    <row r="275" spans="2:20" ht="15.75">
      <c r="B275" s="254"/>
      <c r="C275" s="255"/>
      <c r="D275" s="250"/>
      <c r="G275" s="266"/>
      <c r="I275" s="331"/>
      <c r="J275" s="367"/>
      <c r="K275" s="310"/>
      <c r="L275" s="368"/>
      <c r="M275" s="369"/>
    </row>
    <row r="276" spans="2:20">
      <c r="B276" s="254">
        <f>B274+1</f>
        <v>158</v>
      </c>
      <c r="C276" s="2"/>
      <c r="D276" s="2" t="s">
        <v>944</v>
      </c>
      <c r="E276" s="984">
        <v>0.55000000000000004</v>
      </c>
      <c r="F276"/>
      <c r="G276"/>
      <c r="H276"/>
      <c r="I276"/>
      <c r="J276" s="253"/>
      <c r="K276" s="250"/>
      <c r="L276" s="253"/>
      <c r="M276" s="250"/>
      <c r="N276" s="250"/>
      <c r="O276" s="250"/>
      <c r="P276" s="250"/>
      <c r="Q276" s="250"/>
      <c r="R276" s="250"/>
      <c r="S276" s="250"/>
      <c r="T276" s="250"/>
    </row>
    <row r="277" spans="2:20" ht="15.75">
      <c r="B277" s="315"/>
      <c r="C277" s="255"/>
      <c r="D277" s="247"/>
      <c r="E277" s="247"/>
      <c r="F277" s="317" t="str">
        <f>F224</f>
        <v xml:space="preserve">AEP East Companies </v>
      </c>
      <c r="G277" s="248"/>
      <c r="H277" s="253"/>
      <c r="I277" s="253"/>
      <c r="J277" s="253"/>
      <c r="K277" s="250"/>
      <c r="L277" s="253"/>
      <c r="M277" s="285"/>
      <c r="N277" s="250"/>
      <c r="O277" s="250"/>
      <c r="P277" s="250"/>
      <c r="Q277" s="250"/>
      <c r="R277" s="250"/>
      <c r="S277" s="250"/>
      <c r="T277" s="250"/>
    </row>
    <row r="278" spans="2:20">
      <c r="B278" s="315"/>
      <c r="C278" s="255"/>
      <c r="E278" s="255"/>
      <c r="F278" s="317" t="str">
        <f>F225</f>
        <v>Transmission Cost of Service Formula Rate</v>
      </c>
      <c r="G278" s="253"/>
      <c r="H278" s="253"/>
      <c r="I278" s="253"/>
      <c r="J278" s="253"/>
      <c r="K278" s="250"/>
      <c r="L278" s="263"/>
      <c r="M278" s="285"/>
      <c r="N278" s="250"/>
      <c r="O278" s="250"/>
      <c r="P278" s="250"/>
      <c r="Q278" s="250"/>
      <c r="R278" s="250"/>
      <c r="S278" s="250"/>
      <c r="T278" s="250"/>
    </row>
    <row r="279" spans="2:20" ht="15.75">
      <c r="B279" s="315"/>
      <c r="C279" s="255"/>
      <c r="E279" s="318"/>
      <c r="F279" s="317" t="str">
        <f>F226</f>
        <v>Utilizing  Actual/Projected FERC Form 1 Data</v>
      </c>
      <c r="G279" s="253"/>
      <c r="H279" s="253"/>
      <c r="I279" s="253"/>
      <c r="J279" s="253"/>
      <c r="K279" s="250"/>
      <c r="L279" s="263"/>
      <c r="M279" s="285"/>
      <c r="N279" s="250"/>
      <c r="O279" s="250"/>
      <c r="P279" s="250"/>
      <c r="Q279" s="250"/>
      <c r="R279" s="250"/>
      <c r="S279" s="250"/>
      <c r="T279" s="250"/>
    </row>
    <row r="280" spans="2:20" ht="15.75">
      <c r="B280" s="254"/>
      <c r="C280" s="255"/>
      <c r="E280" s="318"/>
      <c r="F280" s="317"/>
      <c r="G280" s="253"/>
      <c r="H280" s="253"/>
      <c r="I280" s="253"/>
      <c r="J280" s="253"/>
      <c r="K280" s="250"/>
      <c r="L280" s="263"/>
      <c r="N280" s="250"/>
      <c r="O280" s="250"/>
      <c r="P280" s="250"/>
      <c r="Q280" s="250"/>
      <c r="R280" s="250"/>
      <c r="S280" s="250"/>
      <c r="T280" s="250"/>
    </row>
    <row r="281" spans="2:20" ht="15.75">
      <c r="B281" s="254"/>
      <c r="C281" s="255"/>
      <c r="E281" s="318"/>
      <c r="F281" s="317" t="str">
        <f>F228</f>
        <v>Appalachian Power Company</v>
      </c>
      <c r="G281" s="253"/>
      <c r="H281" s="253"/>
      <c r="I281" s="253"/>
      <c r="J281" s="253"/>
      <c r="K281" s="250"/>
      <c r="L281" s="263"/>
      <c r="N281" s="250"/>
      <c r="O281" s="250"/>
      <c r="P281" s="250"/>
      <c r="Q281" s="250"/>
      <c r="R281" s="250"/>
      <c r="S281" s="250"/>
      <c r="T281" s="250"/>
    </row>
    <row r="282" spans="2:20" ht="15.75">
      <c r="B282" s="254"/>
      <c r="C282" s="255"/>
      <c r="E282" s="318"/>
      <c r="F282" s="317"/>
      <c r="G282" s="253"/>
      <c r="H282" s="253"/>
      <c r="I282" s="253"/>
      <c r="J282" s="253"/>
      <c r="K282" s="250"/>
      <c r="L282" s="263"/>
      <c r="N282" s="250"/>
      <c r="O282" s="250"/>
      <c r="P282" s="250"/>
      <c r="Q282" s="250"/>
      <c r="R282" s="250"/>
      <c r="S282" s="250"/>
      <c r="T282" s="250"/>
    </row>
    <row r="283" spans="2:20" ht="15.75">
      <c r="B283" s="293" t="s">
        <v>176</v>
      </c>
      <c r="C283" s="255"/>
      <c r="D283" s="250"/>
      <c r="E283" s="250"/>
      <c r="F283" s="293" t="s">
        <v>175</v>
      </c>
      <c r="G283" s="253"/>
      <c r="H283" s="253"/>
      <c r="I283" s="253"/>
      <c r="J283" s="253"/>
      <c r="K283" s="250"/>
      <c r="L283" s="253"/>
      <c r="N283" s="250"/>
      <c r="O283" s="250"/>
      <c r="P283" s="250"/>
      <c r="Q283" s="250"/>
      <c r="R283" s="250"/>
      <c r="S283" s="250"/>
      <c r="T283" s="250"/>
    </row>
    <row r="284" spans="2:20">
      <c r="C284" s="255"/>
      <c r="L284" s="263"/>
      <c r="N284" s="250"/>
      <c r="O284" s="250"/>
      <c r="P284" s="250"/>
      <c r="Q284" s="250"/>
      <c r="R284" s="250"/>
      <c r="S284" s="250"/>
      <c r="T284" s="250"/>
    </row>
    <row r="285" spans="2:20">
      <c r="B285" s="254"/>
      <c r="C285" s="255"/>
      <c r="D285" s="250" t="s">
        <v>5</v>
      </c>
      <c r="E285" s="255"/>
      <c r="F285" s="255"/>
      <c r="G285" s="253"/>
      <c r="H285" s="253"/>
      <c r="I285" s="253"/>
      <c r="J285" s="253"/>
      <c r="K285" s="250"/>
      <c r="L285" s="253"/>
      <c r="M285" s="250"/>
      <c r="N285" s="250"/>
      <c r="O285" s="250"/>
      <c r="P285" s="250"/>
      <c r="Q285" s="250"/>
      <c r="R285" s="250"/>
      <c r="S285" s="250"/>
      <c r="T285" s="250"/>
    </row>
    <row r="286" spans="2:20">
      <c r="B286" s="246"/>
      <c r="D286" s="250"/>
      <c r="E286" s="250"/>
      <c r="F286" s="250"/>
      <c r="G286" s="253"/>
      <c r="H286" s="253"/>
      <c r="I286" s="253"/>
      <c r="J286" s="253"/>
      <c r="K286" s="250"/>
      <c r="L286" s="253"/>
      <c r="M286" s="250"/>
      <c r="N286" s="250"/>
      <c r="O286" s="250"/>
      <c r="P286" s="250"/>
      <c r="Q286" s="250"/>
      <c r="R286" s="250"/>
      <c r="S286" s="250"/>
      <c r="T286" s="250"/>
    </row>
    <row r="287" spans="2:20" ht="3.75" customHeight="1">
      <c r="B287" s="246"/>
      <c r="D287" s="250"/>
      <c r="E287" s="250"/>
      <c r="F287" s="250"/>
      <c r="G287" s="253"/>
      <c r="H287" s="253"/>
      <c r="I287" s="253"/>
      <c r="J287" s="253"/>
      <c r="K287" s="250"/>
      <c r="L287" s="253"/>
      <c r="M287" s="250"/>
      <c r="N287" s="250"/>
      <c r="O287" s="250"/>
      <c r="P287" s="250"/>
      <c r="Q287" s="250"/>
      <c r="R287" s="250"/>
      <c r="S287" s="250"/>
      <c r="T287" s="250"/>
    </row>
    <row r="288" spans="2:20">
      <c r="B288" s="370" t="s">
        <v>148</v>
      </c>
      <c r="C288" s="255"/>
      <c r="D288" s="250" t="s">
        <v>477</v>
      </c>
      <c r="E288" s="250"/>
      <c r="F288" s="250"/>
      <c r="G288" s="253"/>
      <c r="H288" s="253"/>
      <c r="I288" s="253"/>
      <c r="J288" s="253"/>
      <c r="K288" s="250"/>
      <c r="L288" s="253"/>
      <c r="M288" s="250"/>
      <c r="N288" s="250"/>
      <c r="O288" s="250"/>
      <c r="P288" s="250"/>
      <c r="Q288" s="250"/>
      <c r="R288" s="250"/>
      <c r="S288" s="250"/>
      <c r="T288" s="250"/>
    </row>
    <row r="289" spans="2:20">
      <c r="B289" s="370"/>
      <c r="C289" s="317"/>
      <c r="D289" s="250" t="s">
        <v>369</v>
      </c>
      <c r="E289" s="250"/>
      <c r="F289" s="250"/>
      <c r="G289" s="250"/>
      <c r="H289" s="250"/>
      <c r="I289" s="250"/>
      <c r="J289" s="250"/>
      <c r="K289" s="250"/>
      <c r="L289" s="250"/>
      <c r="M289" s="250"/>
      <c r="N289" s="250"/>
      <c r="O289" s="250"/>
      <c r="P289" s="250"/>
      <c r="Q289" s="250"/>
      <c r="R289" s="250"/>
      <c r="S289" s="250"/>
      <c r="T289" s="250"/>
    </row>
    <row r="290" spans="2:20">
      <c r="D290" s="246" t="s">
        <v>370</v>
      </c>
      <c r="E290" s="276"/>
      <c r="F290" s="276"/>
      <c r="G290" s="250"/>
      <c r="H290" s="250"/>
      <c r="I290" s="250"/>
      <c r="J290" s="250"/>
      <c r="K290" s="250"/>
      <c r="L290" s="250"/>
      <c r="M290" s="250"/>
      <c r="N290" s="250"/>
      <c r="O290" s="250"/>
      <c r="P290" s="250"/>
      <c r="Q290" s="250"/>
      <c r="R290" s="250"/>
      <c r="S290" s="250"/>
      <c r="T290" s="250"/>
    </row>
    <row r="291" spans="2:20">
      <c r="D291" s="250" t="s">
        <v>478</v>
      </c>
      <c r="E291" s="250"/>
      <c r="F291" s="250"/>
      <c r="G291" s="250"/>
      <c r="H291" s="250"/>
      <c r="I291" s="250"/>
      <c r="J291" s="250"/>
      <c r="K291" s="250"/>
      <c r="L291" s="250"/>
      <c r="M291" s="250"/>
      <c r="N291" s="250"/>
      <c r="O291" s="250"/>
      <c r="P291" s="250"/>
      <c r="Q291" s="250"/>
      <c r="R291" s="250"/>
      <c r="S291" s="250"/>
      <c r="T291" s="250"/>
    </row>
    <row r="292" spans="2:20">
      <c r="B292" s="254"/>
      <c r="C292" s="255"/>
      <c r="D292" s="250" t="s">
        <v>479</v>
      </c>
      <c r="E292" s="250"/>
      <c r="F292" s="250"/>
      <c r="G292" s="250"/>
      <c r="H292" s="250"/>
      <c r="I292" s="250"/>
      <c r="J292" s="250"/>
      <c r="K292" s="250"/>
      <c r="L292" s="250"/>
      <c r="M292" s="250"/>
      <c r="N292" s="250"/>
      <c r="O292" s="250"/>
      <c r="P292" s="250"/>
      <c r="Q292" s="250"/>
      <c r="R292" s="250"/>
      <c r="S292" s="250"/>
      <c r="T292" s="250"/>
    </row>
    <row r="293" spans="2:20">
      <c r="B293" s="254"/>
      <c r="C293" s="255"/>
      <c r="D293" s="250" t="s">
        <v>371</v>
      </c>
      <c r="E293" s="250"/>
      <c r="F293" s="250"/>
      <c r="G293" s="250"/>
      <c r="H293" s="250"/>
      <c r="I293" s="250"/>
      <c r="J293" s="250"/>
      <c r="K293" s="250"/>
      <c r="L293" s="250"/>
      <c r="M293" s="250"/>
      <c r="N293" s="250"/>
      <c r="O293" s="250"/>
      <c r="P293" s="250"/>
      <c r="Q293" s="250"/>
      <c r="R293" s="250"/>
      <c r="S293" s="250"/>
      <c r="T293" s="250"/>
    </row>
    <row r="294" spans="2:20">
      <c r="B294" s="254"/>
      <c r="C294" s="255"/>
      <c r="D294" s="250" t="s">
        <v>372</v>
      </c>
      <c r="E294" s="250"/>
      <c r="F294" s="250"/>
      <c r="G294" s="250"/>
      <c r="H294" s="250"/>
      <c r="I294" s="250"/>
      <c r="J294" s="250"/>
      <c r="K294" s="250"/>
      <c r="L294" s="250"/>
      <c r="M294" s="250"/>
      <c r="N294" s="250"/>
      <c r="O294" s="250"/>
      <c r="P294" s="250"/>
      <c r="Q294" s="250"/>
      <c r="R294" s="250"/>
      <c r="S294" s="250"/>
      <c r="T294" s="250"/>
    </row>
    <row r="295" spans="2:20" ht="45" customHeight="1">
      <c r="B295" s="254"/>
      <c r="C295" s="255"/>
      <c r="D295" s="1245" t="s">
        <v>575</v>
      </c>
      <c r="E295" s="1245"/>
      <c r="F295" s="1245"/>
      <c r="G295" s="1245"/>
      <c r="H295" s="1245"/>
      <c r="I295" s="1245"/>
      <c r="J295" s="1245"/>
      <c r="K295" s="1245"/>
      <c r="L295" s="1245"/>
      <c r="M295" s="250"/>
      <c r="N295" s="250"/>
      <c r="O295" s="250"/>
      <c r="P295" s="250"/>
      <c r="Q295" s="250"/>
      <c r="R295" s="250"/>
      <c r="S295" s="250"/>
      <c r="T295" s="250"/>
    </row>
    <row r="296" spans="2:20">
      <c r="B296" s="254"/>
      <c r="C296" s="255"/>
      <c r="D296" s="250" t="s">
        <v>487</v>
      </c>
      <c r="E296" s="250"/>
      <c r="F296" s="250"/>
      <c r="G296" s="250"/>
      <c r="H296" s="250"/>
      <c r="I296" s="250"/>
      <c r="J296" s="250"/>
      <c r="K296" s="250"/>
      <c r="L296" s="250"/>
      <c r="M296" s="250"/>
      <c r="N296" s="250"/>
      <c r="O296" s="250"/>
      <c r="P296" s="250"/>
      <c r="Q296" s="250"/>
      <c r="R296" s="250"/>
      <c r="S296" s="250"/>
      <c r="T296" s="250"/>
    </row>
    <row r="297" spans="2:20">
      <c r="B297" s="254"/>
      <c r="C297" s="255"/>
      <c r="D297" s="2"/>
      <c r="E297" s="250"/>
      <c r="F297" s="250"/>
      <c r="G297" s="250"/>
      <c r="H297" s="250"/>
      <c r="I297" s="250"/>
      <c r="J297" s="250"/>
      <c r="K297" s="250"/>
      <c r="L297" s="250"/>
      <c r="M297" s="250"/>
      <c r="N297" s="250"/>
      <c r="O297" s="250"/>
      <c r="P297" s="250"/>
      <c r="Q297" s="250"/>
      <c r="R297" s="250"/>
      <c r="S297" s="250"/>
      <c r="T297" s="250"/>
    </row>
    <row r="298" spans="2:20" ht="15" customHeight="1">
      <c r="B298" s="254" t="s">
        <v>149</v>
      </c>
      <c r="C298" s="255"/>
      <c r="D298" s="1246" t="s">
        <v>593</v>
      </c>
      <c r="E298" s="1246"/>
      <c r="F298" s="1246"/>
      <c r="G298" s="1246"/>
      <c r="H298" s="1246"/>
      <c r="I298" s="1246"/>
      <c r="J298" s="1246"/>
      <c r="K298" s="1246"/>
      <c r="L298" s="250"/>
      <c r="M298" s="250"/>
      <c r="N298" s="250"/>
      <c r="O298" s="250"/>
      <c r="P298" s="250"/>
      <c r="Q298" s="250"/>
      <c r="R298" s="250"/>
      <c r="S298" s="250"/>
      <c r="T298" s="250"/>
    </row>
    <row r="299" spans="2:20">
      <c r="B299" s="254"/>
      <c r="C299" s="255"/>
      <c r="D299" s="1246"/>
      <c r="E299" s="1246"/>
      <c r="F299" s="1246"/>
      <c r="G299" s="1246"/>
      <c r="H299" s="1246"/>
      <c r="I299" s="1246"/>
      <c r="J299" s="1246"/>
      <c r="K299" s="1246"/>
      <c r="L299" s="250"/>
      <c r="M299" s="250"/>
      <c r="N299" s="250"/>
      <c r="O299" s="250"/>
      <c r="P299" s="250"/>
      <c r="Q299" s="250"/>
      <c r="R299" s="250"/>
      <c r="S299" s="250"/>
      <c r="T299" s="250"/>
    </row>
    <row r="300" spans="2:20">
      <c r="E300" s="250"/>
      <c r="F300" s="250"/>
      <c r="G300" s="250"/>
      <c r="H300" s="250"/>
      <c r="I300" s="250"/>
      <c r="J300" s="250"/>
      <c r="K300" s="250"/>
      <c r="L300" s="250"/>
      <c r="M300" s="250"/>
      <c r="N300" s="250"/>
      <c r="O300" s="250"/>
      <c r="P300" s="250"/>
      <c r="Q300" s="250"/>
      <c r="R300" s="250"/>
      <c r="S300" s="250"/>
      <c r="T300" s="250"/>
    </row>
    <row r="301" spans="2:20">
      <c r="B301" s="254" t="s">
        <v>150</v>
      </c>
      <c r="C301" s="255"/>
      <c r="D301" s="2" t="s">
        <v>861</v>
      </c>
      <c r="E301" s="250"/>
      <c r="F301" s="250"/>
      <c r="G301" s="250"/>
      <c r="H301" s="250"/>
      <c r="I301" s="250"/>
      <c r="J301" s="250"/>
      <c r="K301" s="250"/>
      <c r="L301" s="250"/>
      <c r="M301" s="250"/>
      <c r="N301" s="250"/>
      <c r="O301" s="250"/>
      <c r="P301" s="250"/>
      <c r="Q301" s="250"/>
      <c r="R301" s="250"/>
      <c r="S301" s="250"/>
      <c r="T301" s="250"/>
    </row>
    <row r="302" spans="2:20">
      <c r="B302" s="254"/>
      <c r="C302" s="255"/>
      <c r="D302" s="2"/>
      <c r="E302" s="250"/>
      <c r="F302" s="250"/>
      <c r="G302" s="250"/>
      <c r="H302" s="250"/>
      <c r="I302" s="250"/>
      <c r="J302" s="250"/>
      <c r="K302" s="250"/>
      <c r="L302" s="250"/>
      <c r="M302" s="250"/>
      <c r="N302" s="250"/>
      <c r="O302" s="250"/>
      <c r="P302" s="250"/>
      <c r="Q302" s="250"/>
      <c r="R302" s="250"/>
      <c r="S302" s="250"/>
      <c r="T302" s="250"/>
    </row>
    <row r="303" spans="2:20" ht="15.6" customHeight="1">
      <c r="B303" s="254" t="s">
        <v>151</v>
      </c>
      <c r="C303" s="255"/>
      <c r="D303" s="1245" t="s">
        <v>577</v>
      </c>
      <c r="E303" s="1245"/>
      <c r="F303" s="1245"/>
      <c r="G303" s="1245"/>
      <c r="H303" s="1245"/>
      <c r="I303" s="1245"/>
      <c r="J303" s="1245"/>
      <c r="K303" s="1245"/>
      <c r="L303" s="1245"/>
      <c r="M303" s="250"/>
      <c r="N303" s="250"/>
      <c r="O303" s="250"/>
      <c r="P303" s="250"/>
      <c r="Q303" s="250"/>
      <c r="R303" s="250"/>
      <c r="S303" s="250"/>
      <c r="T303" s="250"/>
    </row>
    <row r="304" spans="2:20">
      <c r="B304" s="254"/>
      <c r="C304" s="255"/>
      <c r="D304" s="1245"/>
      <c r="E304" s="1245"/>
      <c r="F304" s="1245"/>
      <c r="G304" s="1245"/>
      <c r="H304" s="1245"/>
      <c r="I304" s="1245"/>
      <c r="J304" s="1245"/>
      <c r="K304" s="1245"/>
      <c r="L304" s="1245"/>
      <c r="M304" s="250"/>
      <c r="N304" s="250"/>
      <c r="O304" s="250"/>
      <c r="P304" s="250"/>
      <c r="Q304" s="250"/>
      <c r="R304" s="250"/>
      <c r="S304" s="250"/>
      <c r="T304" s="250"/>
    </row>
    <row r="305" spans="2:20">
      <c r="B305" s="254"/>
      <c r="C305" s="255"/>
      <c r="D305" s="250" t="s">
        <v>578</v>
      </c>
      <c r="E305" s="250"/>
      <c r="F305" s="250"/>
      <c r="G305" s="250"/>
      <c r="H305" s="250"/>
      <c r="I305" s="250"/>
      <c r="J305" s="250"/>
      <c r="K305" s="250"/>
      <c r="L305" s="250"/>
      <c r="M305" s="250"/>
      <c r="N305" s="250"/>
      <c r="O305" s="250"/>
      <c r="P305" s="250"/>
      <c r="Q305" s="250"/>
      <c r="R305" s="250"/>
      <c r="S305" s="250"/>
      <c r="T305" s="250"/>
    </row>
    <row r="306" spans="2:20">
      <c r="B306" s="254"/>
      <c r="C306" s="255"/>
      <c r="D306" s="250" t="s">
        <v>579</v>
      </c>
      <c r="E306" s="250"/>
      <c r="F306" s="250"/>
      <c r="G306" s="250"/>
      <c r="H306" s="250"/>
      <c r="I306" s="250"/>
      <c r="J306" s="250"/>
      <c r="K306" s="250"/>
      <c r="L306" s="250"/>
      <c r="M306" s="250"/>
      <c r="N306" s="250"/>
      <c r="O306" s="250"/>
      <c r="P306" s="250"/>
      <c r="Q306" s="250"/>
      <c r="R306" s="250"/>
      <c r="S306" s="250"/>
      <c r="T306" s="250"/>
    </row>
    <row r="307" spans="2:20" ht="30" customHeight="1">
      <c r="B307" s="254"/>
      <c r="C307" s="255"/>
      <c r="D307" s="1245" t="s">
        <v>576</v>
      </c>
      <c r="E307" s="1245"/>
      <c r="F307" s="1245"/>
      <c r="G307" s="1245"/>
      <c r="H307" s="1245"/>
      <c r="I307" s="1245"/>
      <c r="J307" s="1245"/>
      <c r="K307" s="1245"/>
      <c r="L307" s="1245"/>
      <c r="M307" s="250"/>
      <c r="N307" s="250"/>
      <c r="O307" s="250"/>
      <c r="P307" s="250"/>
      <c r="Q307" s="250"/>
      <c r="R307" s="250"/>
      <c r="S307" s="250"/>
      <c r="T307" s="250"/>
    </row>
    <row r="308" spans="2:20" ht="21.75" customHeight="1">
      <c r="B308" s="254" t="s">
        <v>152</v>
      </c>
      <c r="C308" s="250"/>
      <c r="D308" s="250" t="str">
        <f>"Cash Working Capital assigned to transmission is one-eighth of O&amp;M allocated to transmission, as shown on line "&amp;B155&amp;". It excludes:"</f>
        <v>Cash Working Capital assigned to transmission is one-eighth of O&amp;M allocated to transmission, as shown on line 78. It excludes:</v>
      </c>
      <c r="E308" s="4"/>
      <c r="F308" s="4"/>
      <c r="G308" s="4"/>
      <c r="H308" s="4"/>
      <c r="I308" s="4"/>
      <c r="J308" s="4"/>
      <c r="K308" s="4"/>
      <c r="L308" s="4"/>
      <c r="M308" s="250"/>
      <c r="N308" s="250"/>
      <c r="O308" s="250"/>
      <c r="P308" s="250"/>
      <c r="Q308" s="250"/>
      <c r="R308" s="250"/>
      <c r="S308" s="250"/>
      <c r="T308" s="250"/>
    </row>
    <row r="309" spans="2:20">
      <c r="B309" s="254"/>
      <c r="C309" s="250"/>
      <c r="D309" s="371" t="str">
        <f>+"1)  Load Scheduling &amp; Dispatch Charges in account 561 that are collected in the OATT Ancillary Services Revenue, as shown on line "&amp;B152&amp;"."</f>
        <v>1)  Load Scheduling &amp; Dispatch Charges in account 561 that are collected in the OATT Ancillary Services Revenue, as shown on line 75.</v>
      </c>
      <c r="E309" s="68"/>
      <c r="F309" s="68"/>
      <c r="G309" s="68"/>
      <c r="H309" s="68"/>
      <c r="I309" s="68"/>
      <c r="J309" s="68"/>
      <c r="K309" s="68"/>
      <c r="L309" s="68"/>
      <c r="M309" s="250"/>
      <c r="N309" s="250"/>
      <c r="O309" s="250"/>
      <c r="P309" s="250"/>
      <c r="Q309" s="250"/>
      <c r="R309" s="250"/>
      <c r="S309" s="250"/>
      <c r="T309" s="250"/>
    </row>
    <row r="310" spans="2:20">
      <c r="B310" s="254"/>
      <c r="C310" s="250"/>
      <c r="D310" s="372" t="str">
        <f>+"2)  Costs of Transmission of Electricity by Others, as described in Note H."</f>
        <v>2)  Costs of Transmission of Electricity by Others, as described in Note H.</v>
      </c>
      <c r="E310" s="4"/>
      <c r="F310" s="4"/>
      <c r="G310" s="4"/>
      <c r="H310" s="4"/>
      <c r="I310" s="4"/>
      <c r="J310" s="4"/>
      <c r="K310" s="4"/>
      <c r="L310" s="4"/>
      <c r="M310" s="250"/>
      <c r="N310" s="250"/>
      <c r="O310" s="250"/>
      <c r="P310" s="250"/>
      <c r="Q310" s="250"/>
      <c r="R310" s="250"/>
      <c r="S310" s="250"/>
      <c r="T310" s="250"/>
    </row>
    <row r="311" spans="2:20">
      <c r="B311" s="254"/>
      <c r="C311" s="250"/>
      <c r="D311" s="371" t="str">
        <f>+"3)  The impact of state regulatory deferrals and amortizations, as shown on line  "&amp;B154&amp;""</f>
        <v>3)  The impact of state regulatory deferrals and amortizations, as shown on line  77</v>
      </c>
      <c r="E311" s="68"/>
      <c r="F311" s="68"/>
      <c r="G311" s="68"/>
      <c r="H311" s="68"/>
      <c r="I311" s="68"/>
      <c r="J311" s="68"/>
      <c r="K311" s="68"/>
      <c r="L311" s="68"/>
      <c r="M311" s="250"/>
      <c r="N311" s="250"/>
      <c r="O311" s="250"/>
      <c r="P311" s="250"/>
      <c r="Q311" s="250"/>
      <c r="R311" s="250"/>
      <c r="S311" s="250"/>
      <c r="T311" s="250"/>
    </row>
    <row r="312" spans="2:20">
      <c r="B312" s="254"/>
      <c r="C312" s="68"/>
      <c r="D312" s="372" t="str">
        <f>"4) All A&amp;G Expenses, as shown on line "&amp;B172&amp;"."</f>
        <v>4) All A&amp;G Expenses, as shown on line 93.</v>
      </c>
      <c r="E312" s="4"/>
      <c r="F312" s="4"/>
      <c r="G312" s="4"/>
      <c r="H312" s="4"/>
      <c r="I312" s="4"/>
      <c r="J312" s="4"/>
      <c r="K312" s="4"/>
      <c r="L312" s="4"/>
      <c r="M312" s="250"/>
      <c r="N312" s="250"/>
      <c r="O312" s="250"/>
      <c r="P312" s="250"/>
      <c r="Q312" s="250"/>
      <c r="R312" s="250"/>
      <c r="S312" s="250"/>
      <c r="T312" s="250"/>
    </row>
    <row r="313" spans="2:20">
      <c r="B313" s="254"/>
      <c r="C313" s="255"/>
      <c r="D313" s="371"/>
      <c r="E313" s="371"/>
      <c r="F313" s="371"/>
      <c r="G313" s="371"/>
      <c r="H313" s="371"/>
      <c r="I313" s="371"/>
      <c r="J313" s="371"/>
      <c r="K313" s="371"/>
      <c r="L313" s="371"/>
      <c r="M313" s="250"/>
      <c r="N313" s="250"/>
      <c r="O313" s="250"/>
      <c r="P313" s="250"/>
      <c r="Q313" s="250"/>
      <c r="R313" s="250"/>
      <c r="S313" s="250"/>
      <c r="T313" s="250"/>
    </row>
    <row r="314" spans="2:20">
      <c r="B314" s="370" t="s">
        <v>153</v>
      </c>
      <c r="C314" s="317"/>
      <c r="D314" s="373" t="str">
        <f>"Consistent with Paragraph 657 of Order 2003-A, the amount on line "&amp;B129&amp;" is equal to the balance of IPP System Upgrade Credits owed to transmission customers that"</f>
        <v>Consistent with Paragraph 657 of Order 2003-A, the amount on line 67 is equal to the balance of IPP System Upgrade Credits owed to transmission customers that</v>
      </c>
      <c r="E314" s="373"/>
      <c r="F314" s="373"/>
      <c r="G314" s="373"/>
      <c r="H314" s="373"/>
      <c r="I314" s="373"/>
      <c r="J314" s="373"/>
      <c r="K314" s="373"/>
      <c r="L314" s="373"/>
      <c r="M314" s="250"/>
      <c r="N314" s="250"/>
      <c r="O314" s="250"/>
      <c r="P314" s="250"/>
      <c r="Q314" s="250"/>
      <c r="R314" s="250"/>
      <c r="S314" s="250"/>
      <c r="T314" s="250"/>
    </row>
    <row r="315" spans="2:20">
      <c r="D315" s="373" t="s">
        <v>218</v>
      </c>
      <c r="E315" s="373"/>
      <c r="F315" s="373"/>
      <c r="G315" s="373"/>
      <c r="H315" s="373"/>
      <c r="I315" s="373"/>
      <c r="J315" s="373"/>
      <c r="K315" s="373"/>
      <c r="L315" s="373"/>
      <c r="M315" s="250"/>
      <c r="N315" s="250"/>
      <c r="O315" s="250"/>
      <c r="P315" s="250"/>
      <c r="Q315" s="250"/>
      <c r="R315" s="250"/>
      <c r="S315" s="250"/>
      <c r="T315" s="250"/>
    </row>
    <row r="316" spans="2:20">
      <c r="D316" s="373" t="str">
        <f>"expense is included on line "&amp;B215&amp;"."</f>
        <v>expense is included on line 127.</v>
      </c>
      <c r="E316" s="373"/>
      <c r="F316" s="373"/>
      <c r="G316" s="373"/>
      <c r="H316" s="373"/>
      <c r="I316" s="373"/>
      <c r="J316" s="373"/>
      <c r="K316" s="373"/>
      <c r="L316" s="373"/>
      <c r="M316" s="250"/>
      <c r="N316" s="250"/>
      <c r="O316" s="250"/>
      <c r="P316" s="250"/>
      <c r="Q316" s="250"/>
      <c r="R316" s="250"/>
      <c r="S316" s="250"/>
      <c r="T316" s="250"/>
    </row>
    <row r="317" spans="2:20">
      <c r="D317" s="373"/>
      <c r="E317" s="373"/>
      <c r="F317" s="373"/>
      <c r="G317" s="373"/>
      <c r="H317" s="373"/>
      <c r="I317" s="373"/>
      <c r="J317" s="373"/>
      <c r="K317" s="373"/>
      <c r="L317" s="373"/>
      <c r="N317" s="250"/>
      <c r="O317" s="250"/>
      <c r="P317" s="250"/>
      <c r="Q317" s="250"/>
      <c r="R317" s="250"/>
      <c r="S317" s="250"/>
      <c r="T317" s="250"/>
    </row>
    <row r="318" spans="2:20" ht="15.6" customHeight="1">
      <c r="B318" s="370" t="s">
        <v>154</v>
      </c>
      <c r="D318" s="1233" t="str">
        <f>"Removes from the cost of service the Load Scheduling and Dispatch expenses booked to accounts 561.1 through 561.8.  Expenses recorded in these accounts, with the exception of 561.4 &amp; 561.8 (lines "&amp;B45&amp;" &amp; "&amp;B46&amp;" above) are recovered in Schedule 1A, OATT ancillary services rates. See Worksheet F, lines "&amp;'WS F Misc Exp'!A24&amp;" through "&amp;'WS F Misc Exp'!A33&amp;", for descriptions and the Form 1 Source of these accounts' balances."</f>
        <v>Removes from the cost of service the Load Scheduling and Dispatch expenses booked to accounts 561.1 through 561.8.  Expenses recorded in these accounts, with the exception of 561.4 &amp; 561.8 (lines 16 &amp; 17 above) are recovered in Schedule 1A, OATT ancillary services rates. See Worksheet F, lines 5 through 14, for descriptions and the Form 1 Source of these accounts' balances.</v>
      </c>
      <c r="E318" s="1233"/>
      <c r="F318" s="1233"/>
      <c r="G318" s="1233"/>
      <c r="H318" s="1233"/>
      <c r="I318" s="1233"/>
      <c r="J318" s="1233"/>
      <c r="K318" s="1233"/>
      <c r="L318" s="373"/>
      <c r="N318" s="250"/>
      <c r="O318" s="250"/>
      <c r="P318" s="250"/>
      <c r="Q318" s="250"/>
      <c r="R318" s="250"/>
      <c r="S318" s="250"/>
      <c r="T318" s="250"/>
    </row>
    <row r="319" spans="2:20">
      <c r="B319" s="370"/>
      <c r="D319" s="1233"/>
      <c r="E319" s="1233"/>
      <c r="F319" s="1233"/>
      <c r="G319" s="1233"/>
      <c r="H319" s="1233"/>
      <c r="I319" s="1233"/>
      <c r="J319" s="1233"/>
      <c r="K319" s="1233"/>
      <c r="L319" s="373"/>
      <c r="N319" s="250"/>
      <c r="O319" s="250"/>
      <c r="P319" s="250"/>
      <c r="Q319" s="250"/>
      <c r="R319" s="250"/>
      <c r="S319" s="250"/>
      <c r="T319" s="250"/>
    </row>
    <row r="320" spans="2:20">
      <c r="B320" s="370"/>
      <c r="D320" s="1233"/>
      <c r="E320" s="1233"/>
      <c r="F320" s="1233"/>
      <c r="G320" s="1233"/>
      <c r="H320" s="1233"/>
      <c r="I320" s="1233"/>
      <c r="J320" s="1233"/>
      <c r="K320" s="1233"/>
      <c r="L320" s="373"/>
      <c r="N320" s="250"/>
      <c r="O320" s="250"/>
      <c r="P320" s="250"/>
      <c r="Q320" s="250"/>
      <c r="R320" s="250"/>
      <c r="S320" s="250"/>
      <c r="T320" s="250"/>
    </row>
    <row r="321" spans="2:20">
      <c r="B321" s="370"/>
      <c r="D321" s="371"/>
      <c r="E321" s="373"/>
      <c r="F321" s="373"/>
      <c r="G321" s="373"/>
      <c r="H321" s="373"/>
      <c r="I321" s="373"/>
      <c r="J321" s="373"/>
      <c r="K321" s="373"/>
      <c r="L321" s="373"/>
      <c r="N321" s="250"/>
      <c r="O321" s="250"/>
      <c r="P321" s="250"/>
      <c r="Q321" s="250"/>
      <c r="R321" s="250"/>
      <c r="S321" s="250"/>
      <c r="T321" s="250"/>
    </row>
    <row r="322" spans="2:20" ht="15.6" customHeight="1">
      <c r="B322" s="370" t="s">
        <v>155</v>
      </c>
      <c r="D322" s="1251" t="str">
        <f>"Removes cost of transmission service provided by others to determine the basis of cash working capital on line "&amp;B155&amp;". To the extent such service is incurred to provide the PJM service at issue, e.g. lease payments to affiliates, such cost is added back on line "&amp;B175&amp;" to determine the total O&amp;M collected in the formula.  The amounts on line "&amp;B175&amp;" is also excluded in the calculation of the FCR percentage calculated on lines "&amp;B29&amp;" through "&amp;B37&amp;"."</f>
        <v>Removes cost of transmission service provided by others to determine the basis of cash working capital on line 78. To the extent such service is incurred to provide the PJM service at issue, e.g. lease payments to affiliates, such cost is added back on line 95 to determine the total O&amp;M collected in the formula.  The amounts on line 95 is also excluded in the calculation of the FCR percentage calculated on lines 6 through 12.</v>
      </c>
      <c r="E322" s="1251"/>
      <c r="F322" s="1251"/>
      <c r="G322" s="1251"/>
      <c r="H322" s="1251"/>
      <c r="I322" s="1251"/>
      <c r="J322" s="1251"/>
      <c r="K322" s="1251"/>
      <c r="L322" s="373"/>
      <c r="N322" s="250"/>
      <c r="O322" s="250"/>
      <c r="P322" s="250"/>
      <c r="Q322" s="250"/>
      <c r="R322" s="250"/>
      <c r="S322" s="250"/>
      <c r="T322" s="250"/>
    </row>
    <row r="323" spans="2:20">
      <c r="B323" s="370"/>
      <c r="D323" s="1251"/>
      <c r="E323" s="1251"/>
      <c r="F323" s="1251"/>
      <c r="G323" s="1251"/>
      <c r="H323" s="1251"/>
      <c r="I323" s="1251"/>
      <c r="J323" s="1251"/>
      <c r="K323" s="1251"/>
      <c r="L323" s="373"/>
      <c r="N323" s="250"/>
      <c r="O323" s="250"/>
      <c r="P323" s="250"/>
      <c r="Q323" s="250"/>
      <c r="R323" s="250"/>
      <c r="S323" s="250"/>
      <c r="T323" s="250"/>
    </row>
    <row r="324" spans="2:20">
      <c r="B324" s="370"/>
      <c r="D324" s="1251"/>
      <c r="E324" s="1251"/>
      <c r="F324" s="1251"/>
      <c r="G324" s="1251"/>
      <c r="H324" s="1251"/>
      <c r="I324" s="1251"/>
      <c r="J324" s="1251"/>
      <c r="K324" s="1251"/>
      <c r="L324" s="373"/>
      <c r="N324" s="250"/>
      <c r="O324" s="250"/>
      <c r="P324" s="250"/>
      <c r="Q324" s="250"/>
      <c r="R324" s="250"/>
      <c r="S324" s="250"/>
      <c r="T324" s="250"/>
    </row>
    <row r="325" spans="2:20" ht="15.6" customHeight="1">
      <c r="B325" s="370"/>
      <c r="D325" s="1232" t="str">
        <f>"The addbacks  on line "&amp;B175&amp;" of activity recorded in 565 represents inter-company sales or purchases of transmission capacity necessary to meet each AEP company's transmission load relative to their available transmission capacity."</f>
        <v>The addbacks  on line 95 of activity recorded in 565 represents inter-company sales or purchases of transmission capacity necessary to meet each AEP company's transmission load relative to their available transmission capacity.</v>
      </c>
      <c r="E325" s="1232"/>
      <c r="F325" s="1232"/>
      <c r="G325" s="1232"/>
      <c r="H325" s="1232"/>
      <c r="I325" s="1232"/>
      <c r="J325" s="1232"/>
      <c r="K325" s="374"/>
      <c r="L325" s="373"/>
      <c r="N325" s="250"/>
      <c r="O325" s="250"/>
      <c r="P325" s="250"/>
      <c r="Q325" s="250"/>
      <c r="R325" s="250"/>
      <c r="S325" s="250"/>
      <c r="T325" s="250"/>
    </row>
    <row r="326" spans="2:20">
      <c r="B326" s="370"/>
      <c r="D326" s="1232"/>
      <c r="E326" s="1232"/>
      <c r="F326" s="1232"/>
      <c r="G326" s="1232"/>
      <c r="H326" s="1232"/>
      <c r="I326" s="1232"/>
      <c r="J326" s="1232"/>
      <c r="K326" s="374"/>
      <c r="L326" s="373"/>
      <c r="N326" s="250"/>
      <c r="O326" s="250"/>
      <c r="P326" s="250"/>
      <c r="Q326" s="250"/>
      <c r="R326" s="250"/>
      <c r="S326" s="250"/>
      <c r="T326" s="250"/>
    </row>
    <row r="327" spans="2:20">
      <c r="B327" s="370"/>
      <c r="D327" s="373" t="str">
        <f>"The company records referenced on line "&amp;B175&amp;" is the "&amp;F9&amp;" general ledger."</f>
        <v>The company records referenced on line 95 is the Appalachian Power Company general ledger.</v>
      </c>
      <c r="E327" s="375"/>
      <c r="F327" s="375"/>
      <c r="G327" s="375"/>
      <c r="H327" s="375"/>
      <c r="I327" s="375"/>
      <c r="J327" s="375"/>
      <c r="K327" s="375"/>
      <c r="L327" s="373"/>
      <c r="N327" s="250"/>
      <c r="O327" s="250"/>
      <c r="P327" s="250"/>
      <c r="Q327" s="250"/>
      <c r="R327" s="250"/>
      <c r="S327" s="250"/>
      <c r="T327" s="250"/>
    </row>
    <row r="328" spans="2:20">
      <c r="B328" s="370"/>
      <c r="D328" s="373"/>
      <c r="E328" s="375"/>
      <c r="F328" s="375"/>
      <c r="G328" s="375"/>
      <c r="H328" s="375"/>
      <c r="I328" s="375"/>
      <c r="J328" s="375"/>
      <c r="K328" s="375"/>
      <c r="L328" s="373"/>
      <c r="N328" s="250"/>
      <c r="O328" s="250"/>
      <c r="P328" s="250"/>
      <c r="Q328" s="250"/>
      <c r="R328" s="250"/>
      <c r="S328" s="250"/>
      <c r="T328" s="250"/>
    </row>
    <row r="329" spans="2:20">
      <c r="B329" s="370" t="s">
        <v>156</v>
      </c>
      <c r="D329" s="246" t="s">
        <v>580</v>
      </c>
      <c r="E329" s="68"/>
      <c r="F329" s="68"/>
      <c r="G329" s="68"/>
      <c r="H329" s="68"/>
      <c r="I329" s="68"/>
      <c r="J329" s="68"/>
      <c r="K329" s="68"/>
      <c r="L329" s="376"/>
      <c r="N329" s="250"/>
      <c r="O329" s="250"/>
      <c r="P329" s="250"/>
      <c r="Q329" s="250"/>
      <c r="R329" s="250"/>
      <c r="S329" s="250"/>
      <c r="T329" s="250"/>
    </row>
    <row r="330" spans="2:20">
      <c r="B330" s="370"/>
      <c r="D330" s="376"/>
      <c r="E330" s="376"/>
      <c r="F330" s="376"/>
      <c r="G330" s="376"/>
      <c r="H330" s="376"/>
      <c r="I330" s="376"/>
      <c r="J330" s="376"/>
      <c r="K330" s="376"/>
      <c r="L330" s="376"/>
      <c r="N330" s="250"/>
      <c r="O330" s="250"/>
      <c r="P330" s="250"/>
      <c r="Q330" s="250"/>
      <c r="R330" s="250"/>
      <c r="S330" s="250"/>
      <c r="T330" s="250"/>
    </row>
    <row r="331" spans="2:20" ht="15.6" customHeight="1">
      <c r="B331" s="370" t="s">
        <v>157</v>
      </c>
      <c r="D331" s="1250" t="s">
        <v>48</v>
      </c>
      <c r="E331" s="1250"/>
      <c r="F331" s="1250"/>
      <c r="G331" s="1250"/>
      <c r="H331" s="1250"/>
      <c r="I331" s="1250"/>
      <c r="J331" s="1250"/>
      <c r="K331" s="373"/>
      <c r="L331" s="373"/>
      <c r="N331" s="250"/>
      <c r="O331" s="250"/>
      <c r="P331" s="250"/>
      <c r="Q331" s="250"/>
      <c r="R331" s="250"/>
      <c r="S331" s="250"/>
      <c r="T331" s="250"/>
    </row>
    <row r="332" spans="2:20">
      <c r="B332" s="370"/>
      <c r="D332" s="1250"/>
      <c r="E332" s="1250"/>
      <c r="F332" s="1250"/>
      <c r="G332" s="1250"/>
      <c r="H332" s="1250"/>
      <c r="I332" s="1250"/>
      <c r="J332" s="1250"/>
      <c r="K332" s="376"/>
      <c r="L332" s="376"/>
      <c r="N332" s="250"/>
      <c r="O332" s="250"/>
      <c r="P332" s="250"/>
      <c r="Q332" s="250"/>
      <c r="R332" s="250"/>
      <c r="S332" s="250"/>
      <c r="T332" s="250"/>
    </row>
    <row r="333" spans="2:20">
      <c r="B333" s="370"/>
      <c r="D333" s="1250"/>
      <c r="E333" s="1250"/>
      <c r="F333" s="1250"/>
      <c r="G333" s="1250"/>
      <c r="H333" s="1250"/>
      <c r="I333" s="1250"/>
      <c r="J333" s="1250"/>
      <c r="K333" s="373"/>
      <c r="L333" s="373"/>
      <c r="N333" s="250"/>
      <c r="O333" s="250"/>
      <c r="P333" s="250"/>
      <c r="Q333" s="250"/>
      <c r="R333" s="250"/>
      <c r="S333" s="250"/>
      <c r="T333" s="250"/>
    </row>
    <row r="334" spans="2:20">
      <c r="B334" s="370"/>
      <c r="D334" s="373"/>
      <c r="E334" s="373"/>
      <c r="F334" s="373"/>
      <c r="G334" s="373"/>
      <c r="H334" s="373"/>
      <c r="I334" s="373"/>
      <c r="J334" s="373"/>
      <c r="K334" s="373"/>
      <c r="L334" s="373"/>
      <c r="N334" s="250"/>
      <c r="O334" s="250"/>
      <c r="P334" s="250"/>
      <c r="Q334" s="250"/>
      <c r="R334" s="250"/>
      <c r="S334" s="250"/>
      <c r="T334" s="250"/>
    </row>
    <row r="335" spans="2:20" ht="15.6" customHeight="1">
      <c r="B335" s="817" t="s">
        <v>158</v>
      </c>
      <c r="C335" s="818"/>
      <c r="D335" s="1249" t="s">
        <v>856</v>
      </c>
      <c r="E335" s="1249"/>
      <c r="F335" s="1249"/>
      <c r="G335" s="1249"/>
      <c r="H335" s="1249"/>
      <c r="I335" s="1249"/>
      <c r="J335" s="1249"/>
      <c r="K335" s="1249"/>
      <c r="L335" s="376"/>
      <c r="N335" s="250"/>
      <c r="O335" s="250"/>
      <c r="P335" s="250"/>
      <c r="Q335" s="250"/>
      <c r="R335" s="250"/>
      <c r="S335" s="250"/>
      <c r="T335" s="250"/>
    </row>
    <row r="336" spans="2:20" ht="15.75">
      <c r="B336" s="794"/>
      <c r="C336" s="818"/>
      <c r="D336" s="1249"/>
      <c r="E336" s="1249"/>
      <c r="F336" s="1249"/>
      <c r="G336" s="1249"/>
      <c r="H336" s="1249"/>
      <c r="I336" s="1249"/>
      <c r="J336" s="1249"/>
      <c r="K336" s="1249"/>
      <c r="L336" s="373"/>
      <c r="N336" s="250"/>
      <c r="O336" s="250"/>
      <c r="P336" s="250"/>
      <c r="Q336" s="250"/>
      <c r="R336" s="250"/>
      <c r="S336" s="250"/>
      <c r="T336" s="250"/>
    </row>
    <row r="337" spans="2:20">
      <c r="B337" s="370"/>
      <c r="D337" s="373"/>
      <c r="E337" s="373"/>
      <c r="F337" s="373"/>
      <c r="G337" s="373"/>
      <c r="H337" s="373"/>
      <c r="I337" s="373"/>
      <c r="J337" s="373"/>
      <c r="K337" s="373"/>
      <c r="L337" s="373"/>
      <c r="N337" s="250"/>
      <c r="O337" s="250"/>
      <c r="P337" s="250"/>
      <c r="Q337" s="250"/>
      <c r="R337" s="250"/>
      <c r="S337" s="250"/>
      <c r="T337" s="250"/>
    </row>
    <row r="338" spans="2:20" ht="15.6" customHeight="1">
      <c r="B338" s="254" t="s">
        <v>159</v>
      </c>
      <c r="C338" s="255"/>
      <c r="D338" s="1245" t="s">
        <v>581</v>
      </c>
      <c r="E338" s="1245"/>
      <c r="F338" s="1245"/>
      <c r="G338" s="1245"/>
      <c r="H338" s="1245"/>
      <c r="I338" s="1245"/>
      <c r="J338" s="1245"/>
      <c r="K338" s="1245"/>
      <c r="L338" s="1245"/>
      <c r="N338" s="250"/>
      <c r="O338" s="250"/>
      <c r="P338" s="250"/>
      <c r="Q338" s="250"/>
      <c r="R338" s="250"/>
      <c r="S338" s="250"/>
      <c r="T338" s="250"/>
    </row>
    <row r="339" spans="2:20">
      <c r="B339" s="254"/>
      <c r="C339" s="255"/>
      <c r="D339" s="1245"/>
      <c r="E339" s="1245"/>
      <c r="F339" s="1245"/>
      <c r="G339" s="1245"/>
      <c r="H339" s="1245"/>
      <c r="I339" s="1245"/>
      <c r="J339" s="1245"/>
      <c r="K339" s="1245"/>
      <c r="L339" s="1245"/>
      <c r="N339" s="250"/>
      <c r="O339" s="250"/>
      <c r="P339" s="250"/>
      <c r="Q339" s="250"/>
      <c r="R339" s="250"/>
      <c r="S339" s="250"/>
      <c r="T339" s="250"/>
    </row>
    <row r="340" spans="2:20">
      <c r="B340" s="254"/>
      <c r="C340" s="255"/>
      <c r="D340" s="1245"/>
      <c r="E340" s="1245"/>
      <c r="F340" s="1245"/>
      <c r="G340" s="1245"/>
      <c r="H340" s="1245"/>
      <c r="I340" s="1245"/>
      <c r="J340" s="1245"/>
      <c r="K340" s="1245"/>
      <c r="L340" s="1245"/>
      <c r="N340" s="250"/>
      <c r="O340" s="250"/>
      <c r="P340" s="250"/>
      <c r="Q340" s="250"/>
      <c r="R340" s="250"/>
      <c r="S340" s="250"/>
      <c r="T340" s="250"/>
    </row>
    <row r="341" spans="2:20">
      <c r="B341" s="254"/>
      <c r="C341" s="255"/>
      <c r="D341" s="1245"/>
      <c r="E341" s="1245"/>
      <c r="F341" s="1245"/>
      <c r="G341" s="1245"/>
      <c r="H341" s="1245"/>
      <c r="I341" s="1245"/>
      <c r="J341" s="1245"/>
      <c r="K341" s="1245"/>
      <c r="L341" s="1245"/>
      <c r="N341" s="250"/>
      <c r="O341" s="250"/>
      <c r="P341" s="250"/>
      <c r="Q341" s="250"/>
      <c r="R341" s="250"/>
      <c r="S341" s="250"/>
      <c r="T341" s="250"/>
    </row>
    <row r="342" spans="2:20">
      <c r="B342" s="254"/>
      <c r="C342" s="255"/>
      <c r="D342" s="373"/>
      <c r="E342" s="371"/>
      <c r="F342" s="371"/>
      <c r="G342" s="371"/>
      <c r="H342" s="371"/>
      <c r="I342" s="371"/>
      <c r="J342" s="371"/>
      <c r="K342" s="371"/>
      <c r="L342" s="371"/>
      <c r="N342" s="250"/>
      <c r="O342" s="250"/>
      <c r="P342" s="250"/>
      <c r="Q342" s="250"/>
      <c r="R342" s="250"/>
      <c r="S342" s="250"/>
      <c r="T342" s="250"/>
    </row>
    <row r="343" spans="2:20" ht="15" customHeight="1">
      <c r="B343" s="254" t="s">
        <v>160</v>
      </c>
      <c r="C343" s="255"/>
      <c r="D343" s="1248" t="s">
        <v>854</v>
      </c>
      <c r="E343" s="1248"/>
      <c r="F343" s="1248"/>
      <c r="G343" s="1248"/>
      <c r="H343" s="1248"/>
      <c r="I343" s="1248"/>
      <c r="J343" s="1248"/>
      <c r="K343" s="1248"/>
      <c r="L343" s="1248"/>
      <c r="N343" s="250"/>
      <c r="O343" s="250"/>
      <c r="P343" s="250"/>
      <c r="Q343" s="250"/>
      <c r="R343" s="250"/>
      <c r="S343" s="250"/>
      <c r="T343" s="250"/>
    </row>
    <row r="344" spans="2:20">
      <c r="B344" s="254"/>
      <c r="C344" s="255"/>
      <c r="D344" s="1248"/>
      <c r="E344" s="1248"/>
      <c r="F344" s="1248"/>
      <c r="G344" s="1248"/>
      <c r="H344" s="1248"/>
      <c r="I344" s="1248"/>
      <c r="J344" s="1248"/>
      <c r="K344" s="1248"/>
      <c r="L344" s="1248"/>
      <c r="N344" s="250"/>
      <c r="O344" s="250"/>
      <c r="P344" s="250"/>
      <c r="Q344" s="250"/>
      <c r="R344" s="250"/>
      <c r="S344" s="250"/>
      <c r="T344" s="250"/>
    </row>
    <row r="345" spans="2:20">
      <c r="B345" s="254"/>
      <c r="C345" s="255"/>
      <c r="D345" s="1248"/>
      <c r="E345" s="1248"/>
      <c r="F345" s="1248"/>
      <c r="G345" s="1248"/>
      <c r="H345" s="1248"/>
      <c r="I345" s="1248"/>
      <c r="J345" s="1248"/>
      <c r="K345" s="1248"/>
      <c r="L345" s="1248"/>
      <c r="N345" s="250"/>
      <c r="O345" s="250"/>
      <c r="P345" s="250"/>
      <c r="Q345" s="250"/>
      <c r="R345" s="250"/>
      <c r="S345" s="250"/>
      <c r="T345" s="250"/>
    </row>
    <row r="346" spans="2:20">
      <c r="B346" s="254"/>
      <c r="C346" s="255"/>
      <c r="D346" s="327"/>
      <c r="E346" s="250"/>
      <c r="F346" s="250"/>
      <c r="G346" s="250"/>
      <c r="H346" s="250"/>
      <c r="I346" s="250"/>
      <c r="J346" s="250"/>
      <c r="K346" s="250"/>
      <c r="L346" s="250"/>
      <c r="N346" s="250"/>
      <c r="O346" s="250"/>
      <c r="P346" s="250"/>
      <c r="Q346" s="250"/>
      <c r="R346" s="250"/>
      <c r="S346" s="250"/>
      <c r="T346" s="250"/>
    </row>
    <row r="347" spans="2:20">
      <c r="B347" s="317" t="s">
        <v>245</v>
      </c>
      <c r="C347" s="255"/>
      <c r="D347" s="250" t="s">
        <v>355</v>
      </c>
      <c r="E347" s="2"/>
      <c r="F347" s="2"/>
      <c r="G347" s="2"/>
      <c r="H347" s="2"/>
      <c r="I347" s="2"/>
      <c r="J347" s="2"/>
      <c r="N347" s="250"/>
      <c r="O347" s="250"/>
      <c r="P347" s="250"/>
      <c r="Q347" s="250"/>
      <c r="R347" s="250"/>
      <c r="S347" s="250"/>
      <c r="T347" s="250"/>
    </row>
    <row r="348" spans="2:20">
      <c r="B348" s="317"/>
      <c r="C348" s="255"/>
      <c r="D348" s="2"/>
      <c r="E348" s="2"/>
      <c r="F348" s="2"/>
      <c r="G348" s="2"/>
      <c r="H348" s="2"/>
      <c r="I348" s="2"/>
      <c r="J348" s="2"/>
      <c r="N348" s="250"/>
      <c r="O348" s="250"/>
      <c r="P348" s="250"/>
      <c r="Q348" s="250"/>
      <c r="R348" s="250"/>
      <c r="S348" s="250"/>
      <c r="T348" s="250"/>
    </row>
    <row r="349" spans="2:20">
      <c r="B349" s="254" t="s">
        <v>304</v>
      </c>
      <c r="C349" s="255"/>
      <c r="D349" s="250" t="s">
        <v>344</v>
      </c>
      <c r="N349" s="250"/>
      <c r="O349" s="250"/>
      <c r="P349" s="250"/>
      <c r="Q349" s="250"/>
      <c r="R349" s="250"/>
      <c r="S349" s="250"/>
      <c r="T349" s="250"/>
    </row>
    <row r="350" spans="2:20">
      <c r="B350" s="317"/>
      <c r="C350" s="255"/>
      <c r="D350" s="250" t="s">
        <v>233</v>
      </c>
      <c r="N350" s="250"/>
      <c r="O350" s="250"/>
      <c r="P350" s="250"/>
      <c r="Q350" s="250"/>
      <c r="R350" s="250"/>
      <c r="S350" s="250"/>
      <c r="T350" s="250"/>
    </row>
    <row r="351" spans="2:20">
      <c r="B351" s="317"/>
      <c r="C351" s="255"/>
      <c r="D351" s="250" t="s">
        <v>234</v>
      </c>
      <c r="N351" s="250"/>
      <c r="O351" s="250"/>
      <c r="P351" s="250"/>
      <c r="Q351" s="250"/>
      <c r="R351" s="250"/>
      <c r="S351" s="250"/>
      <c r="T351" s="250"/>
    </row>
    <row r="352" spans="2:20">
      <c r="B352" s="317"/>
      <c r="C352" s="255"/>
      <c r="D352" s="250" t="s">
        <v>235</v>
      </c>
      <c r="N352" s="250"/>
      <c r="O352" s="250"/>
      <c r="P352" s="250"/>
      <c r="Q352" s="250"/>
      <c r="R352" s="250"/>
      <c r="S352" s="250"/>
      <c r="T352" s="250"/>
    </row>
    <row r="353" spans="2:20">
      <c r="B353" s="254"/>
      <c r="C353" s="255"/>
      <c r="D353" s="250" t="str">
        <f>"(ln "&amp;B202&amp;") multiplied by (1/1-T) .  If the applicable tax rates are zero enter 0."</f>
        <v>(ln 118) multiplied by (1/1-T) .  If the applicable tax rates are zero enter 0.</v>
      </c>
      <c r="N353" s="250"/>
      <c r="O353" s="250"/>
      <c r="P353" s="250"/>
      <c r="Q353" s="250"/>
      <c r="R353" s="250"/>
      <c r="S353" s="250"/>
      <c r="T353" s="250"/>
    </row>
    <row r="354" spans="2:20">
      <c r="B354" s="377"/>
      <c r="C354" s="250"/>
      <c r="D354" s="250" t="s">
        <v>345</v>
      </c>
      <c r="E354" s="250" t="s">
        <v>346</v>
      </c>
      <c r="F354" s="617">
        <v>0.21</v>
      </c>
      <c r="G354" s="250"/>
      <c r="N354" s="250"/>
      <c r="O354" s="250"/>
      <c r="P354" s="250"/>
      <c r="Q354" s="250"/>
      <c r="R354" s="250"/>
      <c r="S354" s="250"/>
      <c r="T354" s="250"/>
    </row>
    <row r="355" spans="2:20">
      <c r="B355" s="377"/>
      <c r="C355" s="250"/>
      <c r="D355" s="250"/>
      <c r="E355" s="250" t="s">
        <v>347</v>
      </c>
      <c r="F355" s="276">
        <f>'WS G  State Tax Rate'!F42</f>
        <v>2.9363E-2</v>
      </c>
      <c r="G355" s="250" t="s">
        <v>505</v>
      </c>
      <c r="N355" s="250"/>
      <c r="O355" s="250"/>
      <c r="P355" s="250"/>
      <c r="Q355" s="250"/>
      <c r="R355" s="250"/>
      <c r="S355" s="250"/>
      <c r="T355" s="250"/>
    </row>
    <row r="356" spans="2:20">
      <c r="B356" s="377"/>
      <c r="C356" s="250"/>
      <c r="D356" s="250"/>
      <c r="E356" s="250" t="s">
        <v>348</v>
      </c>
      <c r="F356" s="617">
        <v>0</v>
      </c>
      <c r="G356" s="250" t="s">
        <v>349</v>
      </c>
      <c r="N356" s="250"/>
      <c r="O356" s="250"/>
      <c r="P356" s="250"/>
      <c r="Q356" s="250"/>
      <c r="R356" s="250"/>
      <c r="S356" s="250"/>
      <c r="T356" s="250"/>
    </row>
    <row r="357" spans="2:20">
      <c r="B357" s="317"/>
      <c r="C357" s="255"/>
      <c r="D357" s="250" t="s">
        <v>591</v>
      </c>
      <c r="M357" s="250"/>
      <c r="N357" s="250"/>
      <c r="O357" s="250"/>
      <c r="P357" s="250"/>
      <c r="Q357" s="250"/>
      <c r="R357" s="250"/>
      <c r="S357" s="250"/>
      <c r="T357" s="250"/>
    </row>
    <row r="358" spans="2:20">
      <c r="B358" s="317"/>
      <c r="C358" s="255"/>
      <c r="D358" s="250" t="s">
        <v>592</v>
      </c>
      <c r="M358" s="250"/>
      <c r="N358" s="250"/>
      <c r="O358" s="250"/>
      <c r="P358" s="250"/>
      <c r="Q358" s="250"/>
      <c r="R358" s="250"/>
      <c r="S358" s="250"/>
      <c r="T358" s="250"/>
    </row>
    <row r="359" spans="2:20">
      <c r="B359" s="254" t="s">
        <v>350</v>
      </c>
      <c r="C359" s="255"/>
      <c r="D359" s="250" t="s">
        <v>224</v>
      </c>
      <c r="N359" s="250"/>
      <c r="O359" s="250"/>
      <c r="P359" s="250"/>
      <c r="Q359" s="250"/>
      <c r="R359" s="250"/>
      <c r="S359" s="250"/>
      <c r="T359" s="250"/>
    </row>
    <row r="360" spans="2:20">
      <c r="B360" s="246"/>
      <c r="D360" s="250"/>
      <c r="N360" s="250"/>
      <c r="O360" s="250"/>
      <c r="P360" s="250"/>
      <c r="Q360" s="250"/>
      <c r="R360" s="250"/>
      <c r="S360" s="250"/>
      <c r="T360" s="250"/>
    </row>
    <row r="361" spans="2:20">
      <c r="B361" s="254" t="s">
        <v>351</v>
      </c>
      <c r="C361" s="255"/>
      <c r="D361" s="250" t="s">
        <v>22</v>
      </c>
      <c r="N361" s="250"/>
      <c r="O361" s="250"/>
      <c r="P361" s="250"/>
      <c r="Q361" s="250"/>
      <c r="R361" s="250"/>
      <c r="S361" s="250"/>
      <c r="T361" s="250"/>
    </row>
    <row r="362" spans="2:20">
      <c r="B362" s="254"/>
      <c r="C362" s="255"/>
      <c r="D362" s="250"/>
      <c r="E362" s="250"/>
      <c r="F362" s="250"/>
      <c r="G362" s="250"/>
      <c r="H362" s="250"/>
      <c r="I362" s="250"/>
      <c r="J362" s="250"/>
      <c r="K362" s="250"/>
      <c r="L362" s="250"/>
      <c r="M362" s="250"/>
      <c r="N362" s="250"/>
      <c r="O362" s="250"/>
      <c r="P362" s="250"/>
      <c r="Q362" s="250"/>
      <c r="R362" s="250"/>
      <c r="S362" s="250"/>
      <c r="T362" s="250"/>
    </row>
    <row r="363" spans="2:20">
      <c r="B363" s="254" t="s">
        <v>352</v>
      </c>
      <c r="C363" s="255"/>
      <c r="D363" s="250" t="s">
        <v>415</v>
      </c>
      <c r="E363" s="250"/>
      <c r="F363" s="250"/>
      <c r="G363" s="250"/>
      <c r="H363" s="250"/>
      <c r="I363" s="250"/>
      <c r="J363" s="250"/>
      <c r="K363" s="250"/>
      <c r="L363" s="250"/>
      <c r="M363" s="250"/>
      <c r="N363" s="250"/>
      <c r="O363" s="250"/>
      <c r="P363" s="250"/>
      <c r="Q363" s="250"/>
      <c r="R363" s="250"/>
      <c r="S363" s="250"/>
      <c r="T363" s="250"/>
    </row>
    <row r="364" spans="2:20">
      <c r="B364" s="254"/>
      <c r="C364" s="255"/>
      <c r="D364" s="250"/>
      <c r="E364" s="250"/>
      <c r="F364" s="250"/>
      <c r="G364" s="250"/>
      <c r="H364" s="250"/>
      <c r="I364" s="250"/>
      <c r="J364" s="250"/>
      <c r="K364" s="250"/>
      <c r="L364" s="250"/>
      <c r="M364" s="250"/>
      <c r="N364" s="250"/>
      <c r="O364" s="250"/>
      <c r="P364" s="250"/>
      <c r="Q364" s="250"/>
      <c r="R364" s="250"/>
      <c r="S364" s="250"/>
      <c r="T364" s="250"/>
    </row>
    <row r="365" spans="2:20">
      <c r="B365" s="370" t="s">
        <v>353</v>
      </c>
      <c r="C365" s="317"/>
      <c r="D365" s="250" t="s">
        <v>1101</v>
      </c>
      <c r="M365" s="250"/>
      <c r="N365" s="250"/>
      <c r="O365" s="250"/>
      <c r="P365" s="250"/>
      <c r="Q365" s="250"/>
      <c r="R365" s="250"/>
      <c r="S365" s="250"/>
      <c r="T365" s="250"/>
    </row>
    <row r="366" spans="2:20">
      <c r="D366" s="250" t="s">
        <v>1102</v>
      </c>
      <c r="M366" s="250"/>
      <c r="N366" s="250"/>
      <c r="O366" s="250"/>
      <c r="P366" s="250"/>
      <c r="Q366" s="250"/>
      <c r="R366" s="250"/>
      <c r="S366" s="250"/>
      <c r="T366" s="250"/>
    </row>
    <row r="367" spans="2:20" ht="15" customHeight="1">
      <c r="D367" s="1247" t="s">
        <v>1103</v>
      </c>
      <c r="E367" s="1247"/>
      <c r="F367" s="1247"/>
      <c r="G367" s="1247"/>
      <c r="H367" s="1247"/>
      <c r="I367" s="1247"/>
      <c r="J367" s="1247"/>
      <c r="K367" s="1247"/>
      <c r="L367" s="1247"/>
      <c r="M367" s="250"/>
      <c r="N367" s="250"/>
      <c r="O367" s="250"/>
      <c r="P367" s="250"/>
      <c r="Q367" s="250"/>
      <c r="R367" s="250"/>
      <c r="S367" s="250"/>
      <c r="T367" s="250"/>
    </row>
    <row r="368" spans="2:20">
      <c r="D368" s="1247"/>
      <c r="E368" s="1247"/>
      <c r="F368" s="1247"/>
      <c r="G368" s="1247"/>
      <c r="H368" s="1247"/>
      <c r="I368" s="1247"/>
      <c r="J368" s="1247"/>
      <c r="K368" s="1247"/>
      <c r="L368" s="1247"/>
      <c r="M368" s="250"/>
      <c r="N368" s="250"/>
      <c r="O368" s="250"/>
      <c r="P368" s="250"/>
      <c r="Q368" s="250"/>
      <c r="R368" s="250"/>
      <c r="S368" s="250"/>
      <c r="T368" s="250"/>
    </row>
    <row r="369" spans="2:20" ht="14.25" customHeight="1">
      <c r="D369" s="1247"/>
      <c r="E369" s="1247"/>
      <c r="F369" s="1247"/>
      <c r="G369" s="1247"/>
      <c r="H369" s="1247"/>
      <c r="I369" s="1247"/>
      <c r="J369" s="1247"/>
      <c r="K369" s="1247"/>
      <c r="L369" s="1247"/>
      <c r="M369" s="250"/>
      <c r="N369" s="250"/>
      <c r="O369" s="250"/>
      <c r="P369" s="250"/>
      <c r="Q369" s="250"/>
      <c r="R369" s="250"/>
      <c r="S369" s="250"/>
      <c r="T369" s="250"/>
    </row>
    <row r="370" spans="2:20" ht="15" hidden="1" customHeight="1">
      <c r="D370" s="1247"/>
      <c r="E370" s="1247"/>
      <c r="F370" s="1247"/>
      <c r="G370" s="1247"/>
      <c r="H370" s="1247"/>
      <c r="I370" s="1247"/>
      <c r="J370" s="1247"/>
      <c r="K370" s="1247"/>
      <c r="L370" s="1247"/>
      <c r="M370" s="250"/>
      <c r="N370" s="250"/>
      <c r="O370" s="250"/>
      <c r="P370" s="250"/>
      <c r="Q370" s="250"/>
      <c r="R370" s="250"/>
      <c r="S370" s="250"/>
      <c r="T370" s="250"/>
    </row>
    <row r="371" spans="2:20" ht="15" hidden="1" customHeight="1">
      <c r="D371" s="1247"/>
      <c r="E371" s="1247"/>
      <c r="F371" s="1247"/>
      <c r="G371" s="1247"/>
      <c r="H371" s="1247"/>
      <c r="I371" s="1247"/>
      <c r="J371" s="1247"/>
      <c r="K371" s="1247"/>
      <c r="L371" s="1247"/>
      <c r="M371" s="250"/>
      <c r="N371" s="250"/>
      <c r="O371" s="250"/>
      <c r="P371" s="250"/>
      <c r="Q371" s="250"/>
      <c r="R371" s="250"/>
      <c r="S371" s="250"/>
      <c r="T371" s="250"/>
    </row>
    <row r="372" spans="2:20" ht="15" hidden="1" customHeight="1">
      <c r="D372" s="1247"/>
      <c r="E372" s="1247"/>
      <c r="F372" s="1247"/>
      <c r="G372" s="1247"/>
      <c r="H372" s="1247"/>
      <c r="I372" s="1247"/>
      <c r="J372" s="1247"/>
      <c r="K372" s="1247"/>
      <c r="L372" s="1247"/>
      <c r="M372" s="250"/>
      <c r="N372" s="250"/>
      <c r="O372" s="250"/>
      <c r="P372" s="250"/>
      <c r="Q372" s="250"/>
      <c r="R372" s="250"/>
      <c r="S372" s="250"/>
      <c r="T372" s="250"/>
    </row>
    <row r="373" spans="2:20">
      <c r="B373" s="254" t="s">
        <v>426</v>
      </c>
      <c r="C373" s="255"/>
      <c r="D373" s="373" t="s">
        <v>34</v>
      </c>
      <c r="E373" s="373"/>
      <c r="F373" s="373"/>
      <c r="G373" s="373"/>
      <c r="H373" s="373"/>
      <c r="I373" s="373"/>
      <c r="J373" s="373"/>
      <c r="M373" s="250"/>
      <c r="N373" s="250"/>
      <c r="O373" s="250"/>
      <c r="P373" s="250"/>
      <c r="Q373" s="250"/>
      <c r="R373" s="250"/>
      <c r="S373" s="250"/>
      <c r="T373" s="250"/>
    </row>
    <row r="374" spans="2:20">
      <c r="B374" s="254"/>
      <c r="C374" s="255"/>
      <c r="D374" s="373" t="str">
        <f>"This total balance of $265,249,280 at 12/31/12 is not included in the balance in line "&amp;B271&amp;" above."</f>
        <v>This total balance of $265,249,280 at 12/31/12 is not included in the balance in line 154 above.</v>
      </c>
      <c r="E374" s="373"/>
      <c r="F374" s="373"/>
      <c r="G374" s="373"/>
      <c r="H374" s="373"/>
      <c r="I374" s="373"/>
      <c r="J374" s="373"/>
      <c r="M374" s="250"/>
      <c r="N374" s="250"/>
      <c r="O374" s="250"/>
      <c r="P374" s="250"/>
      <c r="Q374" s="250"/>
      <c r="R374" s="250"/>
      <c r="S374" s="250"/>
      <c r="T374" s="250"/>
    </row>
    <row r="375" spans="2:20" ht="15.6" customHeight="1">
      <c r="B375" s="254"/>
      <c r="C375" s="255"/>
      <c r="D375" s="1252" t="s">
        <v>582</v>
      </c>
      <c r="E375" s="1252"/>
      <c r="F375" s="1252"/>
      <c r="G375" s="1252"/>
      <c r="H375" s="1252"/>
      <c r="I375" s="1252"/>
      <c r="J375" s="1252"/>
      <c r="K375" s="1252"/>
      <c r="L375" s="1252"/>
      <c r="M375" s="250"/>
      <c r="N375" s="250"/>
      <c r="O375" s="250"/>
      <c r="P375" s="250"/>
      <c r="Q375" s="250"/>
      <c r="R375" s="250"/>
      <c r="S375" s="250"/>
      <c r="T375" s="250"/>
    </row>
    <row r="376" spans="2:20">
      <c r="B376" s="254"/>
      <c r="C376" s="255"/>
      <c r="D376" s="1252"/>
      <c r="E376" s="1252"/>
      <c r="F376" s="1252"/>
      <c r="G376" s="1252"/>
      <c r="H376" s="1252"/>
      <c r="I376" s="1252"/>
      <c r="J376" s="1252"/>
      <c r="K376" s="1252"/>
      <c r="L376" s="1252"/>
      <c r="M376" s="250"/>
      <c r="N376" s="250"/>
      <c r="O376" s="250"/>
      <c r="P376" s="250"/>
      <c r="Q376" s="250"/>
      <c r="R376" s="250"/>
      <c r="S376" s="250"/>
      <c r="T376" s="250"/>
    </row>
    <row r="377" spans="2:20">
      <c r="B377" s="254"/>
      <c r="C377" s="255"/>
      <c r="D377" s="1252"/>
      <c r="E377" s="1252"/>
      <c r="F377" s="1252"/>
      <c r="G377" s="1252"/>
      <c r="H377" s="1252"/>
      <c r="I377" s="1252"/>
      <c r="J377" s="1252"/>
      <c r="K377" s="1252"/>
      <c r="L377" s="1252"/>
      <c r="M377" s="250"/>
      <c r="N377" s="250"/>
      <c r="O377" s="250"/>
      <c r="P377" s="250"/>
      <c r="Q377" s="250"/>
      <c r="R377" s="250"/>
      <c r="S377" s="250"/>
      <c r="T377" s="250"/>
    </row>
    <row r="378" spans="2:20" ht="15.6" customHeight="1">
      <c r="B378" s="254" t="s">
        <v>494</v>
      </c>
      <c r="C378" s="378"/>
      <c r="D378" s="1252" t="s">
        <v>756</v>
      </c>
      <c r="E378" s="1252"/>
      <c r="F378" s="1252"/>
      <c r="G378" s="1252"/>
      <c r="H378" s="1252"/>
      <c r="I378" s="1252"/>
      <c r="J378" s="1252"/>
      <c r="K378" s="1252"/>
      <c r="L378" s="1252"/>
      <c r="M378" s="250"/>
      <c r="N378" s="250"/>
      <c r="O378" s="250"/>
      <c r="P378" s="250"/>
      <c r="Q378" s="250"/>
      <c r="R378" s="250"/>
      <c r="S378" s="250"/>
      <c r="T378" s="250"/>
    </row>
    <row r="379" spans="2:20" ht="64.5" customHeight="1">
      <c r="B379" s="254"/>
      <c r="C379" s="255"/>
      <c r="D379" s="1252"/>
      <c r="E379" s="1252"/>
      <c r="F379" s="1252"/>
      <c r="G379" s="1252"/>
      <c r="H379" s="1252"/>
      <c r="I379" s="1252"/>
      <c r="J379" s="1252"/>
      <c r="K379" s="1252"/>
      <c r="L379" s="1252"/>
      <c r="M379" s="250"/>
      <c r="N379" s="250"/>
      <c r="O379" s="250"/>
      <c r="P379" s="250"/>
      <c r="Q379" s="250"/>
      <c r="R379" s="250"/>
      <c r="S379" s="250"/>
      <c r="T379" s="250"/>
    </row>
    <row r="380" spans="2:20" ht="15.6" customHeight="1">
      <c r="B380" s="254" t="s">
        <v>584</v>
      </c>
      <c r="C380" s="255"/>
      <c r="D380" s="1252" t="s">
        <v>583</v>
      </c>
      <c r="E380" s="1252"/>
      <c r="F380" s="1252"/>
      <c r="G380" s="1252"/>
      <c r="H380" s="1252"/>
      <c r="I380" s="1252"/>
      <c r="J380" s="1252"/>
      <c r="K380" s="1252"/>
      <c r="L380" s="1252"/>
      <c r="M380" s="250"/>
      <c r="N380" s="250"/>
      <c r="O380" s="250"/>
      <c r="P380" s="250"/>
      <c r="Q380" s="250"/>
      <c r="R380" s="250"/>
      <c r="S380" s="250"/>
      <c r="T380" s="250"/>
    </row>
    <row r="381" spans="2:20">
      <c r="B381" s="254"/>
      <c r="C381" s="255"/>
      <c r="D381" s="1252"/>
      <c r="E381" s="1252"/>
      <c r="F381" s="1252"/>
      <c r="G381" s="1252"/>
      <c r="H381" s="1252"/>
      <c r="I381" s="1252"/>
      <c r="J381" s="1252"/>
      <c r="K381" s="1252"/>
      <c r="L381" s="1252"/>
      <c r="M381" s="250"/>
      <c r="N381" s="250"/>
      <c r="O381" s="250"/>
      <c r="P381" s="250"/>
      <c r="Q381" s="250"/>
      <c r="R381" s="250"/>
      <c r="S381" s="250"/>
      <c r="T381" s="250"/>
    </row>
    <row r="382" spans="2:20">
      <c r="B382" s="254" t="s">
        <v>586</v>
      </c>
      <c r="C382" s="255"/>
      <c r="D382" s="1253" t="s">
        <v>587</v>
      </c>
      <c r="E382" s="1253"/>
      <c r="F382" s="1253"/>
      <c r="G382" s="1253"/>
      <c r="H382" s="1253"/>
      <c r="I382" s="1253"/>
      <c r="J382" s="1253"/>
      <c r="K382" s="1253"/>
      <c r="L382" s="1253"/>
      <c r="M382" s="250"/>
      <c r="N382" s="250"/>
      <c r="O382" s="250"/>
      <c r="P382" s="250"/>
      <c r="Q382" s="250"/>
      <c r="R382" s="250"/>
      <c r="S382" s="250"/>
      <c r="T382" s="250"/>
    </row>
    <row r="383" spans="2:20" ht="15.6" customHeight="1">
      <c r="B383" s="254" t="s">
        <v>585</v>
      </c>
      <c r="C383" s="255"/>
      <c r="D383" s="1252" t="s">
        <v>588</v>
      </c>
      <c r="E383" s="1252"/>
      <c r="F383" s="1252"/>
      <c r="G383" s="1252"/>
      <c r="H383" s="1252"/>
      <c r="I383" s="1252"/>
      <c r="J383" s="1252"/>
      <c r="K383" s="1252"/>
      <c r="L383" s="1252"/>
      <c r="M383" s="250"/>
      <c r="N383" s="250"/>
      <c r="O383" s="250"/>
      <c r="P383" s="250"/>
      <c r="Q383" s="250"/>
      <c r="R383" s="250"/>
      <c r="S383" s="250"/>
      <c r="T383" s="250"/>
    </row>
    <row r="384" spans="2:20">
      <c r="B384" s="254"/>
      <c r="C384" s="255"/>
      <c r="D384" s="1252"/>
      <c r="E384" s="1252"/>
      <c r="F384" s="1252"/>
      <c r="G384" s="1252"/>
      <c r="H384" s="1252"/>
      <c r="I384" s="1252"/>
      <c r="J384" s="1252"/>
      <c r="K384" s="1252"/>
      <c r="L384" s="1252"/>
      <c r="M384" s="250"/>
      <c r="N384" s="250"/>
      <c r="O384" s="250"/>
      <c r="P384" s="250"/>
      <c r="Q384" s="250"/>
      <c r="R384" s="250"/>
      <c r="S384" s="250"/>
      <c r="T384" s="250"/>
    </row>
    <row r="385" spans="2:20">
      <c r="B385"/>
      <c r="C385"/>
      <c r="D385" s="1252"/>
      <c r="E385" s="1252"/>
      <c r="F385" s="1252"/>
      <c r="G385" s="1252"/>
      <c r="H385" s="1252"/>
      <c r="I385" s="1252"/>
      <c r="J385" s="1252"/>
      <c r="K385" s="1252"/>
      <c r="L385" s="1252"/>
      <c r="M385" s="250"/>
      <c r="N385" s="250"/>
      <c r="O385" s="250"/>
      <c r="P385" s="250"/>
      <c r="Q385" s="250"/>
      <c r="R385" s="250"/>
      <c r="S385" s="250"/>
      <c r="T385" s="250"/>
    </row>
    <row r="386" spans="2:20" ht="18" customHeight="1">
      <c r="B386" s="28" t="s">
        <v>628</v>
      </c>
      <c r="C386" s="824"/>
      <c r="D386" s="2" t="s">
        <v>860</v>
      </c>
      <c r="E386" s="4"/>
      <c r="F386" s="4"/>
      <c r="G386" s="4"/>
      <c r="H386"/>
      <c r="M386" s="250"/>
      <c r="N386" s="250"/>
      <c r="O386" s="250"/>
      <c r="P386" s="250"/>
      <c r="Q386" s="250"/>
      <c r="R386" s="250"/>
      <c r="S386" s="250"/>
      <c r="T386" s="250"/>
    </row>
    <row r="387" spans="2:20">
      <c r="B387"/>
      <c r="C387"/>
      <c r="D387"/>
      <c r="E387"/>
      <c r="F387"/>
      <c r="G387"/>
      <c r="H387"/>
      <c r="M387" s="250"/>
      <c r="N387" s="250"/>
      <c r="O387" s="250"/>
      <c r="P387" s="250"/>
      <c r="Q387" s="250"/>
      <c r="R387" s="250"/>
      <c r="S387" s="250"/>
      <c r="T387" s="250"/>
    </row>
    <row r="388" spans="2:20">
      <c r="B388" s="28" t="s">
        <v>945</v>
      </c>
      <c r="C388"/>
      <c r="D388" s="1244" t="s">
        <v>946</v>
      </c>
      <c r="E388" s="1244"/>
      <c r="F388" s="1244"/>
      <c r="G388" s="1244"/>
      <c r="H388" s="1244"/>
      <c r="I388" s="1244"/>
      <c r="J388" s="1244"/>
      <c r="K388" s="1244"/>
      <c r="L388" s="1244"/>
      <c r="M388" s="250"/>
      <c r="N388" s="250"/>
      <c r="O388" s="250"/>
      <c r="P388" s="250"/>
      <c r="Q388" s="250"/>
      <c r="R388" s="250"/>
      <c r="S388" s="250"/>
      <c r="T388" s="250"/>
    </row>
    <row r="389" spans="2:20">
      <c r="B389"/>
      <c r="C389"/>
      <c r="D389" s="1244"/>
      <c r="E389" s="1244"/>
      <c r="F389" s="1244"/>
      <c r="G389" s="1244"/>
      <c r="H389" s="1244"/>
      <c r="I389" s="1244"/>
      <c r="J389" s="1244"/>
      <c r="K389" s="1244"/>
      <c r="L389" s="1244"/>
    </row>
    <row r="390" spans="2:20">
      <c r="B390" s="370" t="s">
        <v>1466</v>
      </c>
      <c r="D390" s="246" t="s">
        <v>1467</v>
      </c>
    </row>
    <row r="392" spans="2:20">
      <c r="B392" s="370" t="s">
        <v>1468</v>
      </c>
      <c r="D392" s="246" t="s">
        <v>1469</v>
      </c>
    </row>
  </sheetData>
  <mergeCells count="26">
    <mergeCell ref="D388:L389"/>
    <mergeCell ref="D307:L307"/>
    <mergeCell ref="D303:L304"/>
    <mergeCell ref="D298:K299"/>
    <mergeCell ref="D295:L295"/>
    <mergeCell ref="D367:L372"/>
    <mergeCell ref="D343:L345"/>
    <mergeCell ref="D338:L341"/>
    <mergeCell ref="D335:K336"/>
    <mergeCell ref="D331:J333"/>
    <mergeCell ref="D322:K324"/>
    <mergeCell ref="D383:L385"/>
    <mergeCell ref="D382:L382"/>
    <mergeCell ref="D380:L381"/>
    <mergeCell ref="D378:L379"/>
    <mergeCell ref="D375:L377"/>
    <mergeCell ref="D325:J326"/>
    <mergeCell ref="D318:K320"/>
    <mergeCell ref="G269:H269"/>
    <mergeCell ref="E185:E186"/>
    <mergeCell ref="B24:I25"/>
    <mergeCell ref="I60:J60"/>
    <mergeCell ref="I63:J63"/>
    <mergeCell ref="I140:J140"/>
    <mergeCell ref="I143:J143"/>
    <mergeCell ref="D42:L42"/>
  </mergeCells>
  <phoneticPr fontId="0" type="noConversion"/>
  <pageMargins left="0.26" right="0.37" top="1" bottom="1" header="0.86" footer="0.5"/>
  <pageSetup scale="36" fitToHeight="5" orientation="portrait" r:id="rId1"/>
  <headerFooter alignWithMargins="0">
    <oddHeader>&amp;R&amp;"Arial,Bold"Formula Rate 
&amp;A
Page &amp;P of &amp;N</oddHeader>
  </headerFooter>
  <rowBreaks count="4" manualBreakCount="4">
    <brk id="51" max="11" man="1"/>
    <brk id="132" max="11" man="1"/>
    <brk id="222" max="11" man="1"/>
    <brk id="276"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autoPageBreaks="0" fitToPage="1"/>
  </sheetPr>
  <dimension ref="A1:O38"/>
  <sheetViews>
    <sheetView tabSelected="1" zoomScaleNormal="100" zoomScaleSheetLayoutView="100" workbookViewId="0">
      <selection activeCell="F7" sqref="F7"/>
    </sheetView>
  </sheetViews>
  <sheetFormatPr defaultColWidth="8.85546875" defaultRowHeight="12.75"/>
  <cols>
    <col min="1" max="1" width="9.42578125" style="1" bestFit="1" customWidth="1"/>
    <col min="2" max="2" width="65.140625" bestFit="1" customWidth="1"/>
    <col min="3" max="3" width="12.5703125" bestFit="1" customWidth="1"/>
    <col min="4" max="4" width="1.5703125" customWidth="1"/>
    <col min="5" max="5" width="15" bestFit="1" customWidth="1"/>
  </cols>
  <sheetData>
    <row r="1" spans="1:15" ht="15.75">
      <c r="A1" s="665" t="s">
        <v>114</v>
      </c>
    </row>
    <row r="2" spans="1:15" ht="15.75">
      <c r="A2" s="665" t="s">
        <v>114</v>
      </c>
    </row>
    <row r="3" spans="1:15" ht="15">
      <c r="A3" s="1257" t="str">
        <f>+'WS C  - Working Capital'!A3:L3</f>
        <v>AEP East Companies</v>
      </c>
      <c r="B3" s="1257"/>
      <c r="C3" s="1257"/>
      <c r="D3" s="1257"/>
      <c r="E3" s="1257"/>
      <c r="F3" s="28"/>
      <c r="G3" s="28"/>
      <c r="H3" s="28"/>
      <c r="I3" s="28"/>
      <c r="J3" s="28"/>
      <c r="K3" s="28"/>
      <c r="L3" s="28"/>
      <c r="M3" s="28"/>
      <c r="N3" s="28"/>
      <c r="O3" s="28"/>
    </row>
    <row r="4" spans="1:15" ht="15">
      <c r="A4" s="1258" t="str">
        <f>"Cost of Service Formula Rate Using Actual/Projected FF1 Balances"</f>
        <v>Cost of Service Formula Rate Using Actual/Projected FF1 Balances</v>
      </c>
      <c r="B4" s="1258"/>
      <c r="C4" s="1258"/>
      <c r="D4" s="1258"/>
      <c r="E4" s="1258"/>
      <c r="F4" s="73"/>
      <c r="G4" s="73"/>
      <c r="H4" s="73"/>
      <c r="I4" s="73"/>
      <c r="J4" s="73"/>
      <c r="K4" s="73"/>
      <c r="L4" s="73"/>
      <c r="M4" s="74"/>
      <c r="N4" s="74"/>
      <c r="O4" s="74"/>
    </row>
    <row r="5" spans="1:15" ht="15">
      <c r="A5" s="1258" t="s">
        <v>227</v>
      </c>
      <c r="B5" s="1258"/>
      <c r="C5" s="1258"/>
      <c r="D5" s="1258"/>
      <c r="E5" s="1258"/>
      <c r="F5" s="73"/>
      <c r="G5" s="73"/>
      <c r="H5" s="73"/>
      <c r="I5" s="73"/>
      <c r="J5" s="73"/>
      <c r="K5" s="73"/>
      <c r="L5" s="73"/>
      <c r="M5" s="73"/>
      <c r="N5" s="73"/>
      <c r="O5" s="73"/>
    </row>
    <row r="6" spans="1:15" ht="15">
      <c r="A6" s="1263" t="str">
        <f>TCOS!F9</f>
        <v>Appalachian Power Company</v>
      </c>
      <c r="B6" s="1263"/>
      <c r="C6" s="1263"/>
      <c r="D6" s="1263"/>
      <c r="E6" s="1263"/>
      <c r="F6" s="3"/>
      <c r="G6" s="3"/>
      <c r="H6" s="3"/>
      <c r="I6" s="3"/>
      <c r="J6" s="3"/>
      <c r="K6" s="3"/>
      <c r="L6" s="3"/>
      <c r="M6" s="3"/>
      <c r="N6" s="3"/>
      <c r="O6" s="3"/>
    </row>
    <row r="8" spans="1:15">
      <c r="A8" s="133" t="s">
        <v>169</v>
      </c>
      <c r="B8" s="134" t="s">
        <v>162</v>
      </c>
      <c r="C8" s="134" t="s">
        <v>163</v>
      </c>
    </row>
    <row r="9" spans="1:15">
      <c r="A9" s="133" t="s">
        <v>106</v>
      </c>
      <c r="B9" s="133" t="s">
        <v>167</v>
      </c>
      <c r="C9" s="133">
        <f>+TCOS!L4</f>
        <v>2025</v>
      </c>
    </row>
    <row r="10" spans="1:15">
      <c r="B10" s="198"/>
      <c r="C10" s="134"/>
    </row>
    <row r="11" spans="1:15">
      <c r="A11" s="1">
        <v>1</v>
      </c>
      <c r="B11" s="826" t="str">
        <f>"Net Funds from IPP Customers 12/31/"&amp;TCOS!L4-1&amp;" ("&amp;TCOS!L4&amp;" FORM 1, P269)"</f>
        <v>Net Funds from IPP Customers 12/31/2024 (2025 FORM 1, P269)</v>
      </c>
      <c r="C11" s="623">
        <v>0</v>
      </c>
    </row>
    <row r="12" spans="1:15">
      <c r="B12" s="4"/>
      <c r="C12" s="105"/>
    </row>
    <row r="13" spans="1:15">
      <c r="A13" s="1">
        <v>2</v>
      </c>
      <c r="B13" s="826" t="s">
        <v>71</v>
      </c>
      <c r="C13" s="623">
        <v>0</v>
      </c>
    </row>
    <row r="14" spans="1:15">
      <c r="B14" s="826"/>
      <c r="C14" s="105"/>
    </row>
    <row r="15" spans="1:15">
      <c r="A15" s="1">
        <f>+A13+1</f>
        <v>3</v>
      </c>
      <c r="B15" s="826" t="s">
        <v>72</v>
      </c>
      <c r="C15" s="623">
        <v>0</v>
      </c>
    </row>
    <row r="16" spans="1:15">
      <c r="B16" s="826"/>
      <c r="C16" s="105"/>
    </row>
    <row r="17" spans="1:4">
      <c r="A17" s="1">
        <f>+A15+1</f>
        <v>4</v>
      </c>
      <c r="B17" s="827" t="s">
        <v>228</v>
      </c>
      <c r="C17" s="105"/>
    </row>
    <row r="18" spans="1:4">
      <c r="A18" s="1">
        <f>+A17+1</f>
        <v>5</v>
      </c>
      <c r="B18" s="826" t="s">
        <v>73</v>
      </c>
      <c r="C18" s="623">
        <v>0</v>
      </c>
    </row>
    <row r="19" spans="1:4">
      <c r="A19" s="1">
        <f>+A18+1</f>
        <v>6</v>
      </c>
      <c r="B19" s="78" t="s">
        <v>114</v>
      </c>
      <c r="C19" s="629">
        <v>0</v>
      </c>
    </row>
    <row r="20" spans="1:4">
      <c r="B20" s="4"/>
      <c r="C20" s="630"/>
    </row>
    <row r="21" spans="1:4">
      <c r="A21" s="1">
        <f>+A19+1</f>
        <v>7</v>
      </c>
      <c r="B21" s="826" t="str">
        <f>"Net Funds from IPP Customers 12/31/"&amp;TCOS!L4&amp;" ("&amp;TCOS!L4&amp;" FORM 1, P269)"</f>
        <v>Net Funds from IPP Customers 12/31/2025 (2025 FORM 1, P269)</v>
      </c>
      <c r="C21" s="105">
        <f>+C11+C13+C15+C18+C19</f>
        <v>0</v>
      </c>
      <c r="D21" s="379"/>
    </row>
    <row r="22" spans="1:4">
      <c r="B22" s="4"/>
      <c r="C22" s="105"/>
    </row>
    <row r="23" spans="1:4">
      <c r="A23" s="1">
        <f>+A21+1</f>
        <v>8</v>
      </c>
      <c r="B23" s="826" t="str">
        <f>"Average Balance for Year as Indicated in Column B ((ln "&amp;A11&amp;" + ln "&amp;A21&amp;")/2)"</f>
        <v>Average Balance for Year as Indicated in Column B ((ln 1 + ln 7)/2)</v>
      </c>
      <c r="C23" s="380">
        <f>AVERAGE(C21,C11)</f>
        <v>0</v>
      </c>
    </row>
    <row r="24" spans="1:4">
      <c r="B24" s="4"/>
    </row>
    <row r="25" spans="1:4">
      <c r="B25" s="68"/>
      <c r="C25" s="381"/>
    </row>
    <row r="26" spans="1:4" ht="15">
      <c r="A26" s="246" t="s">
        <v>499</v>
      </c>
      <c r="B26" s="1250" t="str">
        <f>"On this worksheet Company Records refers to  "&amp;A6&amp;"'s general ledger."</f>
        <v>On this worksheet Company Records refers to  Appalachian Power Company's general ledger.</v>
      </c>
    </row>
    <row r="27" spans="1:4">
      <c r="B27" s="1283"/>
    </row>
    <row r="28" spans="1:4">
      <c r="B28" s="4"/>
    </row>
    <row r="32" spans="1:4">
      <c r="D32" s="382"/>
    </row>
    <row r="38" spans="3:3">
      <c r="C38" s="242"/>
    </row>
  </sheetData>
  <mergeCells count="5">
    <mergeCell ref="B26:B27"/>
    <mergeCell ref="A3:E3"/>
    <mergeCell ref="A4:E4"/>
    <mergeCell ref="A5:E5"/>
    <mergeCell ref="A6:E6"/>
  </mergeCells>
  <phoneticPr fontId="0" type="noConversion"/>
  <pageMargins left="0.82" right="0.7" top="1" bottom="1" header="0.75" footer="0.5"/>
  <pageSetup orientation="portrait" r:id="rId1"/>
  <headerFooter alignWithMargins="0">
    <oddHeader>&amp;R&amp;"Arial,Bold"Formula Rate 
&amp;A
Page &amp;P of &amp;N</oddHead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pageSetUpPr fitToPage="1"/>
  </sheetPr>
  <dimension ref="A1:V151"/>
  <sheetViews>
    <sheetView tabSelected="1" view="pageBreakPreview" topLeftCell="A6" zoomScaleNormal="100" zoomScaleSheetLayoutView="100" workbookViewId="0">
      <selection activeCell="F7" sqref="F7"/>
    </sheetView>
  </sheetViews>
  <sheetFormatPr defaultColWidth="9.140625" defaultRowHeight="15"/>
  <cols>
    <col min="1" max="1" width="9.42578125" style="383" customWidth="1"/>
    <col min="2" max="2" width="6.5703125" style="383" customWidth="1"/>
    <col min="3" max="8" width="14.5703125" style="383" customWidth="1"/>
    <col min="9" max="9" width="14.85546875" style="383" bestFit="1" customWidth="1"/>
    <col min="10" max="11" width="16.5703125" style="383" bestFit="1" customWidth="1"/>
    <col min="12" max="13" width="22.140625" style="383" bestFit="1" customWidth="1"/>
    <col min="14" max="14" width="8.42578125" style="383" customWidth="1"/>
    <col min="15" max="38" width="12.5703125" style="383" customWidth="1"/>
    <col min="39" max="16384" width="9.140625" style="383"/>
  </cols>
  <sheetData>
    <row r="1" spans="1:22" ht="15.75">
      <c r="A1" s="665" t="s">
        <v>114</v>
      </c>
    </row>
    <row r="2" spans="1:22" ht="15.75">
      <c r="A2" s="665" t="s">
        <v>114</v>
      </c>
    </row>
    <row r="3" spans="1:22">
      <c r="A3" s="1257" t="str">
        <f>+'WS C  - Working Capital'!A3:L3</f>
        <v>AEP East Companies</v>
      </c>
      <c r="B3" s="1257"/>
      <c r="C3" s="1257"/>
      <c r="D3" s="1257"/>
      <c r="E3" s="1257"/>
      <c r="F3" s="1257"/>
      <c r="G3" s="1257"/>
      <c r="H3" s="1257"/>
      <c r="I3" s="1257"/>
      <c r="J3" s="1257"/>
      <c r="K3" s="1257"/>
      <c r="L3" s="28"/>
      <c r="M3" s="28"/>
      <c r="N3" s="28"/>
      <c r="O3" s="28"/>
    </row>
    <row r="4" spans="1:22">
      <c r="A4" s="1258" t="str">
        <f>"Cost of Service Formula Rate Using Actual/Projected FF1 Balances"</f>
        <v>Cost of Service Formula Rate Using Actual/Projected FF1 Balances</v>
      </c>
      <c r="B4" s="1258"/>
      <c r="C4" s="1258"/>
      <c r="D4" s="1258"/>
      <c r="E4" s="1258"/>
      <c r="F4" s="1258"/>
      <c r="G4" s="1258"/>
      <c r="H4" s="1258"/>
      <c r="I4" s="1258"/>
      <c r="J4" s="1258"/>
      <c r="K4" s="1258"/>
      <c r="L4" s="74"/>
      <c r="M4" s="74"/>
      <c r="N4" s="74"/>
      <c r="O4" s="74"/>
    </row>
    <row r="5" spans="1:22">
      <c r="A5" s="1258" t="s">
        <v>237</v>
      </c>
      <c r="B5" s="1258"/>
      <c r="C5" s="1258"/>
      <c r="D5" s="1258"/>
      <c r="E5" s="1258"/>
      <c r="F5" s="1258"/>
      <c r="G5" s="1258"/>
      <c r="H5" s="1258"/>
      <c r="I5" s="1258"/>
      <c r="J5" s="1258"/>
      <c r="K5" s="1258"/>
      <c r="L5" s="73"/>
      <c r="M5" s="73"/>
      <c r="N5" s="73"/>
      <c r="O5" s="73"/>
    </row>
    <row r="6" spans="1:22">
      <c r="A6" s="1263" t="str">
        <f>TCOS!F9</f>
        <v>Appalachian Power Company</v>
      </c>
      <c r="B6" s="1263"/>
      <c r="C6" s="1263"/>
      <c r="D6" s="1263"/>
      <c r="E6" s="1263"/>
      <c r="F6" s="1263"/>
      <c r="G6" s="1263"/>
      <c r="H6" s="1263"/>
      <c r="I6" s="1263"/>
      <c r="J6" s="1263"/>
      <c r="K6" s="1263"/>
      <c r="L6" s="3"/>
      <c r="M6" s="3"/>
      <c r="N6" s="3"/>
      <c r="O6" s="3"/>
    </row>
    <row r="8" spans="1:22" ht="18">
      <c r="A8" s="1286"/>
      <c r="B8" s="1286"/>
      <c r="C8" s="1286"/>
      <c r="D8" s="1286"/>
      <c r="E8" s="1286"/>
      <c r="F8" s="1286"/>
      <c r="G8" s="1286"/>
      <c r="H8" s="1286"/>
      <c r="I8" s="1286"/>
      <c r="J8" s="1286"/>
      <c r="K8" s="1286"/>
      <c r="L8" s="384"/>
      <c r="M8" s="385"/>
    </row>
    <row r="9" spans="1:22" ht="18">
      <c r="A9" s="125"/>
      <c r="B9" s="125"/>
      <c r="C9" s="125"/>
      <c r="D9" s="125"/>
      <c r="E9" s="125"/>
      <c r="F9" s="125"/>
      <c r="G9" s="125"/>
      <c r="H9" s="125"/>
      <c r="I9" s="125"/>
      <c r="J9" s="125"/>
      <c r="K9" s="125"/>
      <c r="L9" s="384"/>
      <c r="M9" s="385"/>
    </row>
    <row r="10" spans="1:22" ht="15.75">
      <c r="A10" s="386" t="s">
        <v>169</v>
      </c>
      <c r="B10" s="384"/>
      <c r="C10" s="27"/>
      <c r="D10" s="27"/>
      <c r="E10" s="27"/>
      <c r="F10" s="27"/>
      <c r="G10" s="387"/>
      <c r="H10" s="387"/>
      <c r="I10" s="386" t="s">
        <v>182</v>
      </c>
      <c r="J10" s="386" t="s">
        <v>28</v>
      </c>
      <c r="K10" s="388"/>
      <c r="N10" s="389"/>
      <c r="P10" s="389"/>
      <c r="R10" s="389"/>
      <c r="S10" s="389"/>
      <c r="T10" s="389"/>
      <c r="U10" s="2"/>
      <c r="V10" s="2"/>
    </row>
    <row r="11" spans="1:22" ht="15.75">
      <c r="A11" s="386" t="s">
        <v>106</v>
      </c>
      <c r="B11" s="1287" t="s">
        <v>167</v>
      </c>
      <c r="C11" s="1287"/>
      <c r="D11" s="1287"/>
      <c r="E11" s="1287"/>
      <c r="F11" s="1287"/>
      <c r="G11" s="1287"/>
      <c r="H11" s="1287"/>
      <c r="I11" s="386" t="s">
        <v>183</v>
      </c>
      <c r="J11" s="386" t="s">
        <v>115</v>
      </c>
      <c r="K11" s="386" t="s">
        <v>115</v>
      </c>
      <c r="N11" s="389"/>
      <c r="O11" s="389"/>
      <c r="P11" s="389"/>
      <c r="Q11" s="389"/>
      <c r="R11" s="389"/>
      <c r="S11" s="389"/>
      <c r="T11" s="390"/>
      <c r="U11" s="2"/>
      <c r="V11" s="2"/>
    </row>
    <row r="12" spans="1:22" ht="15.75">
      <c r="A12" s="387"/>
      <c r="B12" s="391"/>
      <c r="C12" s="384"/>
      <c r="D12" s="387"/>
      <c r="E12" s="387"/>
      <c r="F12" s="387"/>
      <c r="G12" s="387"/>
      <c r="H12" s="387"/>
      <c r="I12" s="387"/>
      <c r="J12" s="387"/>
      <c r="K12" s="392"/>
      <c r="N12" s="389"/>
      <c r="O12" s="389"/>
      <c r="P12" s="389"/>
      <c r="Q12" s="389"/>
      <c r="R12" s="389"/>
      <c r="S12" s="389"/>
      <c r="T12" s="390"/>
      <c r="U12" s="2"/>
      <c r="V12" s="2"/>
    </row>
    <row r="13" spans="1:22" s="397" customFormat="1" ht="12.75">
      <c r="A13" s="393">
        <v>1</v>
      </c>
      <c r="B13" s="394" t="s">
        <v>482</v>
      </c>
      <c r="C13" s="4"/>
      <c r="D13" s="395"/>
      <c r="E13" s="395"/>
      <c r="F13" s="395"/>
      <c r="G13" s="395"/>
      <c r="H13" s="395"/>
      <c r="I13" s="631">
        <v>4492769.71</v>
      </c>
      <c r="J13" s="396">
        <f>+I13-K12</f>
        <v>4492769.71</v>
      </c>
      <c r="K13" s="631"/>
      <c r="N13" s="4"/>
      <c r="O13" s="4"/>
      <c r="P13" s="4"/>
      <c r="Q13" s="4"/>
      <c r="R13" s="4"/>
      <c r="S13" s="4"/>
      <c r="T13" s="78"/>
      <c r="U13" s="4"/>
      <c r="V13" s="4"/>
    </row>
    <row r="14" spans="1:22" s="397" customFormat="1" ht="12.75">
      <c r="A14" s="398"/>
      <c r="B14" s="399"/>
      <c r="C14" s="400"/>
      <c r="D14" s="401"/>
      <c r="E14" s="401"/>
      <c r="F14" s="401"/>
      <c r="G14" s="401"/>
      <c r="H14" s="395"/>
      <c r="I14" s="402"/>
      <c r="J14" s="395"/>
      <c r="K14" s="402"/>
      <c r="N14" s="4"/>
      <c r="O14" s="4"/>
      <c r="P14" s="4"/>
      <c r="Q14" s="4"/>
      <c r="R14" s="4"/>
      <c r="S14" s="4"/>
      <c r="T14" s="78"/>
      <c r="U14" s="4"/>
      <c r="V14" s="4"/>
    </row>
    <row r="15" spans="1:22" s="397" customFormat="1" ht="12.75">
      <c r="A15" s="393">
        <f>+A13+1</f>
        <v>2</v>
      </c>
      <c r="B15" s="394" t="s">
        <v>483</v>
      </c>
      <c r="C15" s="4"/>
      <c r="D15" s="395"/>
      <c r="E15" s="395"/>
      <c r="F15" s="395"/>
      <c r="G15" s="395"/>
      <c r="H15" s="395"/>
      <c r="I15" s="631">
        <v>2860354.92</v>
      </c>
      <c r="J15" s="396">
        <f>+I15-K15</f>
        <v>2859756.03</v>
      </c>
      <c r="K15" s="631">
        <v>598.89</v>
      </c>
      <c r="N15" s="4"/>
      <c r="O15" s="4"/>
      <c r="P15" s="4"/>
      <c r="Q15" s="4"/>
      <c r="R15" s="4"/>
      <c r="S15" s="4"/>
      <c r="T15" s="4"/>
      <c r="U15" s="4"/>
      <c r="V15" s="4"/>
    </row>
    <row r="16" spans="1:22" s="397" customFormat="1" ht="12.75">
      <c r="A16" s="398"/>
      <c r="B16" s="399"/>
      <c r="C16" s="400"/>
      <c r="D16" s="401"/>
      <c r="E16" s="401"/>
      <c r="F16" s="401"/>
      <c r="G16" s="401"/>
      <c r="H16" s="395"/>
      <c r="I16" s="395"/>
      <c r="J16" s="395"/>
      <c r="K16" s="395"/>
      <c r="N16" s="4"/>
      <c r="O16" s="4"/>
      <c r="P16" s="4"/>
      <c r="Q16" s="4"/>
      <c r="R16" s="4"/>
      <c r="S16" s="4"/>
      <c r="T16" s="4"/>
      <c r="U16" s="4"/>
      <c r="V16" s="4"/>
    </row>
    <row r="17" spans="1:22" s="397" customFormat="1" ht="12.75">
      <c r="A17" s="393">
        <f>+A15+1</f>
        <v>3</v>
      </c>
      <c r="B17" s="394" t="s">
        <v>484</v>
      </c>
      <c r="C17" s="4"/>
      <c r="D17" s="395"/>
      <c r="E17" s="395"/>
      <c r="F17" s="395"/>
      <c r="G17" s="395"/>
      <c r="H17" s="395"/>
      <c r="I17" s="631">
        <v>32493088.526000001</v>
      </c>
      <c r="J17" s="396">
        <f>+I17-K17</f>
        <v>23557274.950000003</v>
      </c>
      <c r="K17" s="631">
        <v>8935813.5759999994</v>
      </c>
      <c r="N17" s="4"/>
      <c r="O17" s="4"/>
      <c r="P17" s="4"/>
      <c r="Q17" s="4"/>
      <c r="R17" s="4"/>
      <c r="S17" s="4"/>
      <c r="T17" s="4"/>
      <c r="U17" s="4"/>
      <c r="V17" s="4"/>
    </row>
    <row r="18" spans="1:22" s="397" customFormat="1" ht="12.75">
      <c r="A18" s="398"/>
      <c r="B18" s="395"/>
      <c r="C18" s="4"/>
      <c r="D18" s="395"/>
      <c r="E18" s="395"/>
      <c r="F18" s="395"/>
      <c r="G18" s="403"/>
      <c r="H18" s="395"/>
      <c r="I18" s="395"/>
      <c r="J18" s="395"/>
      <c r="K18" s="395"/>
      <c r="N18" s="4"/>
      <c r="O18" s="4"/>
      <c r="P18" s="4"/>
      <c r="Q18" s="4"/>
      <c r="R18" s="4"/>
      <c r="S18" s="4"/>
      <c r="T18" s="4"/>
      <c r="U18" s="4"/>
      <c r="V18" s="4"/>
    </row>
    <row r="19" spans="1:22" s="397" customFormat="1" ht="12.75">
      <c r="A19" s="393">
        <f>+A17+1</f>
        <v>4</v>
      </c>
      <c r="B19" s="394" t="s">
        <v>759</v>
      </c>
      <c r="C19" s="4"/>
      <c r="D19" s="395"/>
      <c r="E19" s="395"/>
      <c r="F19" s="395"/>
      <c r="G19" s="403"/>
      <c r="H19" s="395"/>
      <c r="I19" s="631">
        <v>16423852.470000001</v>
      </c>
      <c r="J19" s="396">
        <f>+I19-K19</f>
        <v>8500448.290000001</v>
      </c>
      <c r="K19" s="631">
        <v>7923404.1799999997</v>
      </c>
      <c r="N19" s="405"/>
      <c r="O19" s="4"/>
      <c r="P19" s="4"/>
      <c r="Q19" s="4"/>
      <c r="R19" s="4"/>
      <c r="S19" s="4"/>
      <c r="T19" s="4"/>
      <c r="U19" s="4"/>
      <c r="V19" s="4"/>
    </row>
    <row r="20" spans="1:22" s="397" customFormat="1" ht="12.75">
      <c r="A20" s="398"/>
      <c r="B20" s="394"/>
      <c r="C20" s="4"/>
      <c r="D20" s="395"/>
      <c r="E20" s="395"/>
      <c r="F20" s="395"/>
      <c r="G20" s="403"/>
      <c r="H20" s="395"/>
      <c r="I20" s="4"/>
      <c r="J20" s="4"/>
      <c r="K20" s="4"/>
      <c r="L20" s="4"/>
      <c r="N20" s="405"/>
      <c r="O20" s="4"/>
      <c r="P20" s="4"/>
      <c r="Q20" s="4"/>
      <c r="R20" s="4"/>
      <c r="S20" s="4"/>
      <c r="T20" s="4"/>
      <c r="U20" s="4"/>
      <c r="V20" s="4"/>
    </row>
    <row r="21" spans="1:22" s="397" customFormat="1" ht="12.75">
      <c r="A21" s="393">
        <f>+A19+1</f>
        <v>5</v>
      </c>
      <c r="B21" s="394" t="s">
        <v>760</v>
      </c>
      <c r="C21" s="4"/>
      <c r="D21" s="395"/>
      <c r="E21" s="395"/>
      <c r="F21" s="395"/>
      <c r="G21" s="403"/>
      <c r="H21" s="395"/>
      <c r="I21" s="631">
        <v>193682788.22000003</v>
      </c>
      <c r="J21" s="396">
        <f>+I21-K21</f>
        <v>193682788.22000003</v>
      </c>
      <c r="K21" s="1170">
        <v>0</v>
      </c>
      <c r="N21" s="405"/>
      <c r="O21" s="4"/>
      <c r="P21" s="4"/>
      <c r="Q21" s="4"/>
      <c r="R21" s="4"/>
      <c r="S21" s="4"/>
      <c r="T21" s="4"/>
      <c r="U21" s="4"/>
      <c r="V21" s="4"/>
    </row>
    <row r="22" spans="1:22" s="397" customFormat="1" ht="12.75">
      <c r="A22" s="393"/>
      <c r="B22" s="394"/>
      <c r="C22" s="4"/>
      <c r="D22" s="395"/>
      <c r="E22" s="395"/>
      <c r="F22" s="395"/>
      <c r="G22" s="403"/>
      <c r="H22" s="395"/>
      <c r="I22" s="664"/>
      <c r="J22" s="396"/>
      <c r="K22" s="664"/>
      <c r="N22" s="405"/>
      <c r="O22" s="4"/>
      <c r="P22" s="4"/>
      <c r="Q22" s="4"/>
      <c r="R22" s="4"/>
      <c r="S22" s="4"/>
      <c r="T22" s="4"/>
      <c r="U22" s="4"/>
      <c r="V22" s="4"/>
    </row>
    <row r="23" spans="1:22" s="397" customFormat="1" ht="12.75">
      <c r="A23" s="393" t="s">
        <v>620</v>
      </c>
      <c r="B23" s="394" t="s">
        <v>623</v>
      </c>
      <c r="C23" s="4"/>
      <c r="D23" s="395"/>
      <c r="E23" s="395"/>
      <c r="F23" s="395"/>
      <c r="G23" s="403"/>
      <c r="H23" s="395"/>
      <c r="I23" s="631"/>
      <c r="J23" s="396">
        <v>0</v>
      </c>
      <c r="K23" s="631"/>
      <c r="N23" s="405"/>
      <c r="O23" s="4"/>
      <c r="P23" s="4"/>
      <c r="Q23" s="4"/>
      <c r="R23" s="4"/>
      <c r="S23" s="4"/>
      <c r="T23" s="4"/>
      <c r="U23" s="4"/>
      <c r="V23" s="4"/>
    </row>
    <row r="24" spans="1:22" s="397" customFormat="1" ht="12.75">
      <c r="A24" s="393"/>
      <c r="B24" s="394"/>
      <c r="C24" s="4"/>
      <c r="D24" s="395"/>
      <c r="E24" s="395"/>
      <c r="F24" s="395"/>
      <c r="G24" s="403"/>
      <c r="H24" s="395"/>
      <c r="I24" s="664"/>
      <c r="J24" s="396"/>
      <c r="K24" s="664"/>
      <c r="N24" s="405"/>
      <c r="O24" s="4"/>
      <c r="P24" s="4"/>
      <c r="Q24" s="4"/>
      <c r="R24" s="4"/>
      <c r="S24" s="4"/>
      <c r="T24" s="4"/>
      <c r="U24" s="4"/>
      <c r="V24" s="4"/>
    </row>
    <row r="25" spans="1:22" s="397" customFormat="1" ht="12.75">
      <c r="A25" s="393" t="s">
        <v>621</v>
      </c>
      <c r="B25" s="394" t="s">
        <v>622</v>
      </c>
      <c r="C25" s="4"/>
      <c r="D25" s="395"/>
      <c r="E25" s="395"/>
      <c r="F25" s="395"/>
      <c r="G25" s="403"/>
      <c r="H25" s="395"/>
      <c r="I25" s="631"/>
      <c r="J25" s="396">
        <v>0</v>
      </c>
      <c r="K25" s="631"/>
      <c r="N25" s="405"/>
      <c r="O25" s="4"/>
      <c r="P25" s="4"/>
      <c r="Q25" s="4"/>
      <c r="R25" s="4"/>
      <c r="S25" s="4"/>
      <c r="T25" s="4"/>
      <c r="U25" s="4"/>
      <c r="V25" s="4"/>
    </row>
    <row r="26" spans="1:22" s="397" customFormat="1" ht="12.75">
      <c r="A26" s="393"/>
      <c r="B26" s="394"/>
      <c r="C26" s="4"/>
      <c r="D26" s="395"/>
      <c r="E26" s="395"/>
      <c r="F26" s="395"/>
      <c r="G26" s="403"/>
      <c r="H26" s="395"/>
      <c r="I26" s="4"/>
      <c r="J26" s="4"/>
      <c r="N26" s="4"/>
      <c r="O26" s="4"/>
      <c r="P26" s="4"/>
      <c r="Q26" s="4"/>
      <c r="R26" s="4"/>
      <c r="S26" s="4"/>
      <c r="T26" s="4"/>
      <c r="U26" s="4"/>
      <c r="V26" s="4"/>
    </row>
    <row r="27" spans="1:22" s="397" customFormat="1" ht="12.75">
      <c r="A27" s="393">
        <f>+A21+1</f>
        <v>6</v>
      </c>
      <c r="B27" s="394" t="s">
        <v>74</v>
      </c>
      <c r="C27" s="4"/>
      <c r="D27" s="395"/>
      <c r="E27" s="395"/>
      <c r="F27" s="395"/>
      <c r="G27" s="403"/>
      <c r="H27" s="395"/>
      <c r="I27" s="406">
        <f>+I21+I19+I17+I15+I13+I23+I25</f>
        <v>249952853.84600002</v>
      </c>
      <c r="J27" s="406">
        <f>+J21+J19+J17+J15+J13+J23+J25</f>
        <v>233093037.20000005</v>
      </c>
      <c r="K27" s="406">
        <f>+K21+K19+K17+K15+K13+K23+K25</f>
        <v>16859816.645999998</v>
      </c>
      <c r="N27" s="4"/>
      <c r="O27" s="4"/>
      <c r="P27" s="4"/>
      <c r="Q27" s="4"/>
      <c r="R27" s="4"/>
      <c r="S27" s="4"/>
      <c r="T27" s="4"/>
      <c r="U27" s="4"/>
      <c r="V27" s="4"/>
    </row>
    <row r="28" spans="1:22" s="397" customFormat="1" ht="12.75">
      <c r="A28" s="393"/>
      <c r="B28" s="394"/>
      <c r="C28" s="4"/>
      <c r="D28" s="395"/>
      <c r="E28" s="395"/>
      <c r="F28" s="395"/>
      <c r="G28" s="403"/>
      <c r="H28" s="395"/>
      <c r="I28" s="4"/>
      <c r="J28" s="4"/>
      <c r="K28" s="4"/>
      <c r="N28" s="4"/>
      <c r="O28" s="4"/>
      <c r="P28" s="4"/>
      <c r="Q28" s="4"/>
      <c r="R28" s="4"/>
      <c r="S28" s="4"/>
      <c r="T28" s="4"/>
      <c r="U28" s="4"/>
      <c r="V28" s="4"/>
    </row>
    <row r="29" spans="1:22" s="397" customFormat="1" ht="12.75">
      <c r="A29" s="393">
        <f>+A27+1</f>
        <v>7</v>
      </c>
      <c r="B29" s="1285" t="s">
        <v>485</v>
      </c>
      <c r="C29" s="1283"/>
      <c r="D29" s="1283"/>
      <c r="E29" s="1283"/>
      <c r="F29" s="1283"/>
      <c r="G29" s="1283"/>
      <c r="H29" s="395"/>
      <c r="I29" s="631"/>
      <c r="J29" s="396">
        <f>+I29-K29</f>
        <v>0</v>
      </c>
      <c r="K29" s="631"/>
      <c r="N29" s="4"/>
      <c r="O29" s="4"/>
      <c r="P29" s="4"/>
      <c r="Q29" s="4"/>
      <c r="R29" s="4"/>
      <c r="S29" s="4"/>
      <c r="T29" s="4"/>
      <c r="U29" s="4"/>
      <c r="V29" s="4"/>
    </row>
    <row r="30" spans="1:22" s="397" customFormat="1" ht="12.75">
      <c r="A30" s="78"/>
      <c r="B30" s="1283"/>
      <c r="C30" s="1283"/>
      <c r="D30" s="1283"/>
      <c r="E30" s="1283"/>
      <c r="F30" s="1283"/>
      <c r="G30" s="1283"/>
      <c r="H30" s="395"/>
      <c r="I30" s="396"/>
      <c r="J30" s="395"/>
      <c r="K30" s="396"/>
      <c r="N30" s="4"/>
      <c r="O30" s="4"/>
      <c r="P30" s="4"/>
      <c r="Q30" s="4"/>
      <c r="R30" s="4"/>
      <c r="S30" s="4"/>
      <c r="T30" s="4"/>
      <c r="U30" s="4"/>
      <c r="V30" s="4"/>
    </row>
    <row r="31" spans="1:22" s="397" customFormat="1" ht="12.75">
      <c r="A31" s="393">
        <f>+A29+1</f>
        <v>8</v>
      </c>
      <c r="B31" s="399" t="s">
        <v>215</v>
      </c>
      <c r="C31" s="400"/>
      <c r="D31" s="401"/>
      <c r="E31" s="401"/>
      <c r="F31" s="401"/>
      <c r="G31" s="404"/>
      <c r="H31" s="395"/>
      <c r="I31" s="407">
        <f>SUM(I27:I29)</f>
        <v>249952853.84600002</v>
      </c>
      <c r="J31" s="407">
        <f>SUM(J27:J29)</f>
        <v>233093037.20000005</v>
      </c>
      <c r="K31" s="407">
        <f>SUM(K27:K29)</f>
        <v>16859816.645999998</v>
      </c>
      <c r="N31" s="4"/>
      <c r="O31" s="4"/>
      <c r="P31" s="4"/>
      <c r="Q31" s="4"/>
      <c r="R31" s="4"/>
      <c r="S31" s="4"/>
      <c r="T31" s="4"/>
      <c r="U31" s="4"/>
      <c r="V31" s="4"/>
    </row>
    <row r="32" spans="1:22" s="397" customFormat="1" ht="12.75">
      <c r="A32" s="393"/>
      <c r="B32" s="399"/>
      <c r="C32" s="400"/>
      <c r="D32" s="401"/>
      <c r="E32" s="401"/>
      <c r="F32" s="401"/>
      <c r="G32" s="404"/>
      <c r="H32" s="395"/>
      <c r="I32" s="396"/>
      <c r="J32" s="396"/>
      <c r="K32" s="396"/>
      <c r="N32" s="4"/>
      <c r="O32" s="4"/>
      <c r="P32" s="4"/>
      <c r="Q32" s="4"/>
      <c r="R32" s="4"/>
      <c r="S32" s="4"/>
      <c r="T32" s="4"/>
      <c r="U32" s="4"/>
      <c r="V32" s="4"/>
    </row>
    <row r="33" spans="1:22" s="397" customFormat="1" ht="12.75">
      <c r="A33" s="393"/>
      <c r="B33" s="399"/>
      <c r="C33" s="400"/>
      <c r="D33" s="401"/>
      <c r="E33" s="401"/>
      <c r="F33" s="401"/>
      <c r="G33" s="404"/>
      <c r="H33" s="395"/>
      <c r="I33" s="396"/>
      <c r="J33" s="396"/>
      <c r="K33" s="396"/>
      <c r="N33" s="4"/>
      <c r="O33" s="4"/>
      <c r="P33" s="4"/>
      <c r="Q33" s="4"/>
      <c r="R33" s="4"/>
      <c r="S33" s="4"/>
      <c r="T33" s="4"/>
      <c r="U33" s="4"/>
      <c r="V33" s="4"/>
    </row>
    <row r="34" spans="1:22" s="397" customFormat="1" ht="12.75">
      <c r="A34" s="829"/>
      <c r="N34" s="4"/>
      <c r="O34" s="4"/>
      <c r="P34" s="4"/>
      <c r="Q34" s="4"/>
      <c r="R34" s="4"/>
      <c r="S34" s="4"/>
      <c r="T34" s="4"/>
      <c r="U34" s="4"/>
      <c r="V34" s="4"/>
    </row>
    <row r="35" spans="1:22">
      <c r="A35" s="830"/>
      <c r="B35" s="4"/>
      <c r="C35" s="394"/>
      <c r="D35" s="395"/>
      <c r="E35" s="395"/>
      <c r="F35" s="395"/>
      <c r="G35" s="403"/>
      <c r="H35" s="395"/>
      <c r="I35" s="395"/>
      <c r="J35" s="395"/>
      <c r="K35" s="395"/>
      <c r="L35" s="387"/>
      <c r="M35" s="408"/>
      <c r="N35" s="2"/>
      <c r="O35" s="27"/>
      <c r="P35" s="27"/>
      <c r="Q35" s="27"/>
      <c r="R35" s="27"/>
      <c r="S35" s="2"/>
      <c r="T35" s="2"/>
      <c r="U35" s="2"/>
      <c r="V35" s="2"/>
    </row>
    <row r="36" spans="1:22" ht="15" customHeight="1">
      <c r="A36" s="78" t="s">
        <v>499</v>
      </c>
      <c r="B36" s="1284" t="str">
        <f>"The total company data on this worksheet comes from the indicated FF1 source, or "&amp;A6&amp;"'s general ledger. The functional amounts identified as transmission revenue also come from the general ledger. "</f>
        <v xml:space="preserve">The total company data on this worksheet comes from the indicated FF1 source, or Appalachian Power Company's general ledger. The functional amounts identified as transmission revenue also come from the general ledger. </v>
      </c>
      <c r="C36" s="1284"/>
      <c r="D36" s="1284"/>
      <c r="E36" s="1284"/>
      <c r="F36" s="1284"/>
      <c r="G36" s="1284"/>
      <c r="H36" s="1284"/>
      <c r="I36" s="1284"/>
      <c r="J36" s="1284"/>
      <c r="K36" s="4"/>
      <c r="L36" s="27"/>
      <c r="M36" s="27"/>
      <c r="N36" s="2"/>
      <c r="O36" s="27"/>
      <c r="P36" s="27"/>
      <c r="Q36" s="27"/>
      <c r="R36" s="27"/>
      <c r="S36" s="2"/>
      <c r="T36" s="389"/>
      <c r="U36" s="2"/>
      <c r="V36" s="2"/>
    </row>
    <row r="37" spans="1:22" ht="15.75">
      <c r="A37" s="78"/>
      <c r="B37" s="1284"/>
      <c r="C37" s="1284"/>
      <c r="D37" s="1284"/>
      <c r="E37" s="1284"/>
      <c r="F37" s="1284"/>
      <c r="G37" s="1284"/>
      <c r="H37" s="1284"/>
      <c r="I37" s="1284"/>
      <c r="J37" s="1284"/>
      <c r="K37" s="4"/>
      <c r="L37" s="2"/>
      <c r="M37" s="410"/>
      <c r="N37" s="410"/>
      <c r="O37" s="410"/>
      <c r="P37" s="410"/>
      <c r="Q37" s="410"/>
      <c r="R37" s="2"/>
      <c r="S37" s="2"/>
      <c r="T37" s="2"/>
      <c r="U37" s="2"/>
      <c r="V37" s="2"/>
    </row>
    <row r="38" spans="1:22" ht="15.75">
      <c r="A38" s="78" t="s">
        <v>618</v>
      </c>
      <c r="B38" s="828" t="s">
        <v>619</v>
      </c>
      <c r="C38" s="409"/>
      <c r="D38" s="409"/>
      <c r="E38" s="409"/>
      <c r="F38" s="409"/>
      <c r="G38" s="409"/>
      <c r="H38" s="409"/>
      <c r="I38" s="409"/>
      <c r="J38" s="409"/>
      <c r="K38" s="134"/>
      <c r="L38" s="2"/>
      <c r="M38" s="410"/>
      <c r="N38" s="410"/>
      <c r="O38" s="410"/>
      <c r="P38" s="410"/>
      <c r="Q38" s="410"/>
      <c r="R38" s="2"/>
      <c r="S38" s="2"/>
      <c r="T38" s="2"/>
      <c r="U38" s="2"/>
      <c r="V38" s="2"/>
    </row>
    <row r="39" spans="1:22" ht="15.75">
      <c r="A39" s="393">
        <f>+A31+1</f>
        <v>9</v>
      </c>
      <c r="B39" s="394" t="s">
        <v>534</v>
      </c>
      <c r="C39" s="4"/>
      <c r="D39" s="395"/>
      <c r="E39" s="395"/>
      <c r="F39" s="395"/>
      <c r="G39" s="403"/>
      <c r="H39" s="395"/>
      <c r="I39" s="396"/>
      <c r="J39" s="396"/>
      <c r="K39" s="631">
        <v>0</v>
      </c>
      <c r="L39" s="2"/>
      <c r="M39" s="410"/>
      <c r="N39" s="410"/>
      <c r="O39" s="410"/>
      <c r="P39" s="410"/>
      <c r="Q39" s="410"/>
      <c r="R39" s="2"/>
      <c r="S39" s="2"/>
      <c r="T39" s="2"/>
      <c r="U39" s="2"/>
      <c r="V39" s="2"/>
    </row>
    <row r="40" spans="1:22" ht="15.75">
      <c r="A40" s="2"/>
      <c r="B40" s="2"/>
      <c r="E40" s="410"/>
      <c r="F40" s="410"/>
      <c r="G40" s="410"/>
      <c r="H40" s="410"/>
      <c r="I40" s="411"/>
      <c r="J40" s="410"/>
      <c r="K40" s="410"/>
      <c r="L40" s="2"/>
      <c r="M40" s="410"/>
      <c r="N40" s="410"/>
      <c r="O40" s="410"/>
      <c r="P40" s="410"/>
      <c r="Q40" s="410"/>
      <c r="R40" s="2"/>
      <c r="S40" s="2"/>
      <c r="T40" s="2"/>
      <c r="U40" s="2"/>
      <c r="V40" s="2"/>
    </row>
    <row r="41" spans="1:22" ht="15.75">
      <c r="A41" s="2"/>
      <c r="B41" s="2"/>
      <c r="E41" s="410"/>
      <c r="F41" s="410"/>
      <c r="G41" s="410"/>
      <c r="H41" s="410"/>
      <c r="I41" s="410" t="s">
        <v>114</v>
      </c>
      <c r="J41" s="410"/>
      <c r="K41" s="410"/>
      <c r="L41" s="2"/>
      <c r="M41" s="410"/>
      <c r="N41" s="410"/>
      <c r="O41" s="410"/>
      <c r="P41" s="410"/>
      <c r="Q41" s="410"/>
      <c r="R41" s="2"/>
      <c r="S41" s="2"/>
      <c r="T41" s="2"/>
      <c r="U41" s="2"/>
      <c r="V41" s="2"/>
    </row>
    <row r="42" spans="1:22" ht="15.75">
      <c r="A42" s="2"/>
      <c r="B42" s="2"/>
      <c r="E42" s="410"/>
      <c r="F42" s="410"/>
      <c r="G42" s="410"/>
      <c r="H42" s="410"/>
      <c r="I42" s="410" t="s">
        <v>114</v>
      </c>
      <c r="J42" s="410"/>
      <c r="K42" s="410"/>
      <c r="L42" s="2"/>
      <c r="M42" s="410"/>
      <c r="N42" s="410"/>
      <c r="O42" s="410"/>
      <c r="P42" s="410"/>
      <c r="Q42" s="410"/>
      <c r="R42" s="2"/>
      <c r="S42" s="2"/>
      <c r="T42" s="2"/>
      <c r="U42" s="2"/>
      <c r="V42" s="2"/>
    </row>
    <row r="43" spans="1:22" ht="15.75">
      <c r="A43" s="2"/>
      <c r="B43" s="2"/>
      <c r="E43" s="410"/>
      <c r="F43" s="410"/>
      <c r="G43" s="410"/>
      <c r="H43" s="410"/>
      <c r="I43" s="410"/>
      <c r="J43" s="410"/>
      <c r="K43" s="410"/>
      <c r="L43" s="2"/>
      <c r="M43" s="410"/>
      <c r="N43" s="410"/>
      <c r="O43" s="410"/>
      <c r="P43" s="410"/>
      <c r="Q43" s="410"/>
      <c r="R43" s="2"/>
      <c r="S43" s="2"/>
      <c r="T43" s="2"/>
      <c r="U43" s="2"/>
      <c r="V43" s="2"/>
    </row>
    <row r="44" spans="1:22" ht="15.75">
      <c r="A44" s="2"/>
      <c r="B44" s="2"/>
      <c r="E44" s="410"/>
      <c r="F44" s="410"/>
      <c r="G44" s="410"/>
      <c r="H44" s="410"/>
      <c r="I44" s="410"/>
      <c r="J44" s="410"/>
      <c r="K44" s="410"/>
      <c r="L44" s="2"/>
      <c r="M44" s="410"/>
      <c r="N44" s="410"/>
      <c r="O44" s="410"/>
      <c r="P44" s="410"/>
      <c r="Q44" s="410"/>
      <c r="R44" s="2"/>
      <c r="S44" s="2"/>
      <c r="T44" s="2"/>
      <c r="U44" s="2"/>
      <c r="V44" s="2"/>
    </row>
    <row r="45" spans="1:22" ht="15.75">
      <c r="A45" s="2"/>
      <c r="B45" s="2"/>
      <c r="E45" s="410"/>
      <c r="F45" s="410"/>
      <c r="G45" s="410"/>
      <c r="H45" s="410"/>
      <c r="I45" s="410"/>
      <c r="J45" s="410"/>
      <c r="K45" s="410"/>
      <c r="L45" s="2"/>
      <c r="M45" s="410"/>
      <c r="N45" s="410"/>
      <c r="O45" s="410"/>
      <c r="P45" s="410"/>
      <c r="Q45" s="410"/>
      <c r="R45" s="2"/>
      <c r="S45" s="2"/>
      <c r="T45" s="2"/>
      <c r="U45" s="2"/>
      <c r="V45" s="2"/>
    </row>
    <row r="46" spans="1:22" ht="15.75">
      <c r="A46" s="2"/>
      <c r="B46" s="2"/>
      <c r="E46" s="410"/>
      <c r="F46" s="410"/>
      <c r="G46" s="410"/>
      <c r="H46" s="410"/>
      <c r="I46" s="410"/>
      <c r="J46" s="410"/>
      <c r="K46" s="410"/>
      <c r="L46" s="2"/>
      <c r="M46" s="410"/>
      <c r="N46" s="410"/>
      <c r="O46" s="410"/>
      <c r="P46" s="410"/>
      <c r="Q46" s="410"/>
      <c r="R46" s="2"/>
      <c r="S46" s="2"/>
      <c r="T46" s="2"/>
      <c r="U46" s="2"/>
      <c r="V46" s="2"/>
    </row>
    <row r="47" spans="1:22" ht="15.75">
      <c r="A47" s="2"/>
      <c r="B47" s="2"/>
      <c r="E47" s="410"/>
      <c r="F47" s="410"/>
      <c r="G47" s="410"/>
      <c r="H47" s="410"/>
      <c r="I47" s="410"/>
      <c r="J47" s="410"/>
      <c r="K47" s="410"/>
      <c r="L47" s="2"/>
      <c r="M47" s="410"/>
      <c r="N47" s="410"/>
      <c r="O47" s="410"/>
      <c r="P47" s="410"/>
      <c r="Q47" s="410"/>
      <c r="R47" s="2"/>
      <c r="S47" s="2"/>
      <c r="T47" s="2"/>
      <c r="U47" s="2"/>
      <c r="V47" s="2"/>
    </row>
    <row r="48" spans="1:22" ht="15.75">
      <c r="A48" s="2"/>
      <c r="B48" s="2"/>
      <c r="E48" s="410"/>
      <c r="F48" s="410"/>
      <c r="G48" s="410"/>
      <c r="H48" s="410"/>
      <c r="I48" s="410"/>
      <c r="J48" s="410"/>
      <c r="K48" s="410"/>
      <c r="L48" s="2"/>
      <c r="M48" s="410"/>
      <c r="N48" s="410"/>
      <c r="O48" s="410"/>
      <c r="P48" s="410"/>
      <c r="Q48" s="410"/>
      <c r="R48" s="2"/>
      <c r="S48" s="2"/>
      <c r="T48" s="2"/>
      <c r="U48" s="2"/>
      <c r="V48" s="2"/>
    </row>
    <row r="49" spans="1:22" ht="15.75">
      <c r="I49" s="410"/>
      <c r="J49" s="410"/>
      <c r="K49" s="410"/>
      <c r="L49" s="2"/>
      <c r="M49" s="410"/>
      <c r="N49" s="410"/>
      <c r="O49" s="410"/>
      <c r="P49" s="410"/>
      <c r="Q49" s="410"/>
      <c r="R49" s="2"/>
      <c r="S49" s="2"/>
      <c r="T49" s="2"/>
      <c r="U49" s="2"/>
      <c r="V49" s="2"/>
    </row>
    <row r="50" spans="1:22" ht="15.75">
      <c r="A50" s="2"/>
      <c r="B50" s="2"/>
      <c r="E50" s="410"/>
      <c r="F50" s="410"/>
      <c r="G50" s="410"/>
      <c r="H50" s="410"/>
      <c r="I50" s="410"/>
      <c r="J50" s="410"/>
      <c r="K50" s="410"/>
      <c r="L50" s="2"/>
      <c r="M50" s="410"/>
      <c r="N50" s="410"/>
      <c r="O50" s="410"/>
      <c r="P50" s="410"/>
      <c r="Q50" s="410"/>
      <c r="R50" s="2"/>
      <c r="S50" s="2"/>
      <c r="T50" s="2"/>
      <c r="U50" s="2"/>
      <c r="V50" s="2"/>
    </row>
    <row r="51" spans="1:22" ht="15.75">
      <c r="A51" s="2"/>
      <c r="B51" s="2"/>
      <c r="E51" s="410"/>
      <c r="F51" s="410"/>
      <c r="G51" s="410"/>
      <c r="H51" s="410"/>
      <c r="I51" s="410"/>
      <c r="J51" s="410"/>
      <c r="K51" s="410"/>
      <c r="L51" s="2"/>
      <c r="M51" s="410"/>
      <c r="N51" s="410"/>
      <c r="O51" s="410"/>
      <c r="P51" s="410"/>
      <c r="Q51" s="410"/>
      <c r="R51" s="2"/>
      <c r="S51" s="2"/>
      <c r="T51" s="2"/>
      <c r="U51" s="2"/>
      <c r="V51" s="2"/>
    </row>
    <row r="52" spans="1:22" ht="15.75">
      <c r="A52" s="2"/>
      <c r="B52" s="2"/>
      <c r="E52" s="410"/>
      <c r="F52" s="410"/>
      <c r="G52" s="410"/>
      <c r="H52" s="410"/>
      <c r="I52" s="410"/>
      <c r="J52" s="410"/>
      <c r="K52" s="410"/>
      <c r="L52" s="2"/>
      <c r="M52" s="410"/>
      <c r="N52" s="410"/>
      <c r="O52" s="410"/>
      <c r="P52" s="410"/>
      <c r="Q52" s="410"/>
      <c r="R52" s="2"/>
      <c r="S52" s="2"/>
      <c r="T52" s="2"/>
      <c r="U52" s="2"/>
      <c r="V52" s="2"/>
    </row>
    <row r="53" spans="1:22" ht="15.75">
      <c r="A53" s="2"/>
      <c r="B53" s="2"/>
      <c r="E53" s="410"/>
      <c r="F53" s="410"/>
      <c r="G53" s="410"/>
      <c r="H53" s="410"/>
      <c r="I53" s="410"/>
      <c r="J53" s="410"/>
      <c r="K53" s="410"/>
      <c r="L53" s="2"/>
      <c r="M53" s="410"/>
      <c r="N53" s="410"/>
      <c r="O53" s="410"/>
      <c r="P53" s="410"/>
      <c r="Q53" s="410"/>
      <c r="R53" s="2"/>
      <c r="S53" s="2"/>
      <c r="T53" s="2"/>
      <c r="U53" s="2"/>
      <c r="V53" s="2"/>
    </row>
    <row r="54" spans="1:22" ht="15.75">
      <c r="A54" s="2"/>
      <c r="B54" s="2"/>
      <c r="E54" s="410"/>
      <c r="F54" s="410"/>
      <c r="G54" s="410"/>
      <c r="H54" s="410"/>
      <c r="I54" s="410"/>
      <c r="J54" s="410"/>
      <c r="K54" s="410"/>
      <c r="L54" s="2"/>
      <c r="M54" s="410"/>
      <c r="N54" s="410"/>
      <c r="O54" s="410"/>
      <c r="P54" s="410"/>
      <c r="Q54" s="410"/>
      <c r="R54" s="2"/>
      <c r="S54" s="2"/>
      <c r="T54" s="2"/>
      <c r="U54" s="2"/>
      <c r="V54" s="2"/>
    </row>
    <row r="55" spans="1:22" ht="15.75">
      <c r="A55" s="2"/>
      <c r="B55" s="2"/>
      <c r="E55" s="410"/>
      <c r="F55" s="410"/>
      <c r="G55" s="410"/>
      <c r="H55" s="410"/>
      <c r="I55" s="410"/>
      <c r="J55" s="410"/>
      <c r="K55" s="410"/>
      <c r="L55" s="2"/>
      <c r="M55" s="410"/>
      <c r="N55" s="410"/>
      <c r="O55" s="410"/>
      <c r="P55" s="410"/>
      <c r="Q55" s="410"/>
      <c r="R55" s="2"/>
      <c r="S55" s="2"/>
      <c r="T55" s="2"/>
      <c r="U55" s="2"/>
      <c r="V55" s="2"/>
    </row>
    <row r="56" spans="1:22" ht="15.75">
      <c r="A56" s="2"/>
      <c r="B56" s="2"/>
      <c r="E56" s="410"/>
      <c r="F56" s="410"/>
      <c r="G56" s="410"/>
      <c r="H56" s="410"/>
      <c r="I56" s="410"/>
      <c r="J56" s="410"/>
      <c r="K56" s="410"/>
      <c r="L56" s="2"/>
      <c r="M56" s="410"/>
      <c r="N56" s="410"/>
      <c r="O56" s="410"/>
      <c r="P56" s="410"/>
      <c r="Q56" s="410"/>
      <c r="R56" s="2"/>
      <c r="S56" s="2"/>
      <c r="T56" s="2"/>
      <c r="U56" s="2"/>
      <c r="V56" s="2"/>
    </row>
    <row r="57" spans="1:22" ht="15.75">
      <c r="A57" s="2"/>
      <c r="B57" s="2"/>
      <c r="E57" s="410"/>
      <c r="F57" s="410"/>
      <c r="G57" s="410"/>
      <c r="H57" s="410"/>
      <c r="I57" s="410"/>
      <c r="J57" s="410"/>
      <c r="K57" s="410"/>
      <c r="L57" s="2"/>
      <c r="M57" s="410"/>
      <c r="N57" s="410"/>
      <c r="O57" s="410"/>
      <c r="P57" s="410"/>
      <c r="Q57" s="410"/>
      <c r="R57" s="2"/>
      <c r="S57" s="2"/>
      <c r="T57" s="2"/>
      <c r="U57" s="2"/>
      <c r="V57" s="2"/>
    </row>
    <row r="58" spans="1:22" ht="15.75">
      <c r="A58" s="2"/>
      <c r="B58" s="2"/>
      <c r="E58" s="410"/>
      <c r="F58" s="410"/>
      <c r="G58" s="410"/>
      <c r="H58" s="410"/>
      <c r="I58" s="410"/>
      <c r="J58" s="410"/>
      <c r="K58" s="410"/>
      <c r="L58" s="2"/>
      <c r="M58" s="410"/>
      <c r="N58" s="410"/>
      <c r="O58" s="410"/>
      <c r="P58" s="410"/>
      <c r="Q58" s="410"/>
      <c r="R58" s="2"/>
      <c r="S58" s="2"/>
      <c r="T58" s="2"/>
      <c r="U58" s="2"/>
      <c r="V58" s="2"/>
    </row>
    <row r="59" spans="1:22" ht="15.75">
      <c r="A59" s="2"/>
      <c r="B59" s="2"/>
      <c r="E59" s="410"/>
      <c r="F59" s="410"/>
      <c r="G59" s="410"/>
      <c r="H59" s="410"/>
      <c r="I59" s="410"/>
      <c r="J59" s="410"/>
      <c r="K59" s="410"/>
      <c r="L59" s="2"/>
      <c r="M59" s="410"/>
      <c r="N59" s="410"/>
      <c r="O59" s="410"/>
      <c r="P59" s="410"/>
      <c r="Q59" s="410"/>
      <c r="R59" s="2"/>
      <c r="S59" s="2"/>
      <c r="T59" s="2"/>
      <c r="U59" s="2"/>
      <c r="V59" s="2"/>
    </row>
    <row r="60" spans="1:22" ht="15.75">
      <c r="A60" s="2"/>
      <c r="B60" s="2"/>
      <c r="E60" s="410"/>
      <c r="F60" s="410"/>
      <c r="G60" s="410"/>
      <c r="H60" s="410"/>
      <c r="I60" s="410"/>
      <c r="J60" s="410"/>
      <c r="K60" s="410"/>
      <c r="L60" s="2"/>
      <c r="M60" s="410"/>
      <c r="N60" s="410"/>
      <c r="O60" s="410"/>
      <c r="P60" s="410"/>
      <c r="Q60" s="410"/>
      <c r="R60" s="2"/>
      <c r="S60" s="2"/>
      <c r="T60" s="2"/>
      <c r="U60" s="2"/>
      <c r="V60" s="2"/>
    </row>
    <row r="61" spans="1:22" ht="15.75">
      <c r="A61" s="2"/>
      <c r="B61" s="2"/>
      <c r="E61" s="410"/>
      <c r="F61" s="410"/>
      <c r="G61" s="410"/>
      <c r="H61" s="410"/>
      <c r="I61" s="410"/>
      <c r="J61" s="410"/>
      <c r="K61" s="410"/>
      <c r="L61" s="2"/>
      <c r="M61" s="410"/>
      <c r="N61" s="410"/>
      <c r="O61" s="410"/>
      <c r="P61" s="410"/>
      <c r="Q61" s="410"/>
      <c r="R61" s="2"/>
      <c r="S61" s="2"/>
      <c r="T61" s="2"/>
      <c r="U61" s="2"/>
      <c r="V61" s="2"/>
    </row>
    <row r="62" spans="1:22" ht="15.75">
      <c r="A62" s="2"/>
      <c r="B62" s="2"/>
      <c r="E62" s="410"/>
      <c r="F62" s="410"/>
      <c r="G62" s="410"/>
      <c r="H62" s="410"/>
      <c r="I62" s="410"/>
      <c r="J62" s="410"/>
      <c r="K62" s="410"/>
      <c r="L62" s="2"/>
      <c r="M62" s="410"/>
      <c r="N62" s="410"/>
      <c r="O62" s="410"/>
      <c r="P62" s="410"/>
      <c r="Q62" s="410"/>
      <c r="R62" s="2"/>
      <c r="S62" s="2"/>
      <c r="T62" s="2"/>
      <c r="U62" s="2"/>
      <c r="V62" s="2"/>
    </row>
    <row r="63" spans="1:22" ht="15.75">
      <c r="A63" s="2"/>
      <c r="B63" s="2"/>
      <c r="E63" s="410"/>
      <c r="F63" s="410"/>
      <c r="G63" s="410"/>
      <c r="H63" s="410"/>
      <c r="I63" s="410"/>
      <c r="J63" s="410"/>
      <c r="K63" s="410"/>
      <c r="L63" s="2"/>
      <c r="M63" s="410"/>
      <c r="N63" s="410"/>
      <c r="O63" s="410"/>
      <c r="P63" s="410"/>
      <c r="Q63" s="410"/>
      <c r="R63" s="2"/>
      <c r="S63" s="2"/>
      <c r="T63" s="2"/>
      <c r="U63" s="2"/>
      <c r="V63" s="2"/>
    </row>
    <row r="64" spans="1:22" ht="15.75">
      <c r="A64" s="2"/>
      <c r="B64" s="2"/>
      <c r="E64" s="410"/>
      <c r="F64" s="410"/>
      <c r="G64" s="410"/>
      <c r="H64" s="410"/>
      <c r="I64" s="410"/>
      <c r="J64" s="410"/>
      <c r="K64" s="410"/>
      <c r="L64" s="2"/>
      <c r="M64" s="410"/>
      <c r="N64" s="410"/>
      <c r="O64" s="410"/>
      <c r="P64" s="410"/>
      <c r="Q64" s="410"/>
      <c r="R64" s="2"/>
      <c r="S64" s="2"/>
      <c r="T64" s="2"/>
      <c r="U64" s="2"/>
      <c r="V64" s="2"/>
    </row>
    <row r="65" spans="1:22" ht="15.75">
      <c r="A65" s="2"/>
      <c r="B65" s="2"/>
      <c r="E65" s="410"/>
      <c r="F65" s="410"/>
      <c r="G65" s="410"/>
      <c r="H65" s="410"/>
      <c r="I65" s="410"/>
      <c r="J65" s="410"/>
      <c r="K65" s="410"/>
      <c r="L65" s="2"/>
      <c r="M65" s="410"/>
      <c r="N65" s="410"/>
      <c r="O65" s="410"/>
      <c r="P65" s="410"/>
      <c r="Q65" s="410"/>
      <c r="R65" s="2"/>
      <c r="S65" s="2"/>
      <c r="T65" s="2"/>
      <c r="U65" s="2"/>
      <c r="V65" s="2"/>
    </row>
    <row r="66" spans="1:22" ht="15.75">
      <c r="A66" s="2"/>
      <c r="B66" s="2"/>
      <c r="E66" s="410"/>
      <c r="F66" s="410"/>
      <c r="G66" s="410"/>
      <c r="H66" s="410"/>
      <c r="I66" s="410"/>
      <c r="J66" s="410"/>
      <c r="K66" s="410"/>
      <c r="L66" s="2"/>
      <c r="M66" s="410"/>
      <c r="N66" s="410"/>
      <c r="O66" s="410"/>
      <c r="P66" s="410"/>
      <c r="Q66" s="410"/>
      <c r="R66" s="2"/>
      <c r="S66" s="2"/>
      <c r="T66" s="2"/>
      <c r="U66" s="2"/>
      <c r="V66" s="2"/>
    </row>
    <row r="67" spans="1:22" ht="15.75">
      <c r="A67" s="2"/>
      <c r="B67" s="2"/>
      <c r="E67" s="410"/>
      <c r="F67" s="410"/>
      <c r="G67" s="410"/>
      <c r="H67" s="410"/>
      <c r="I67" s="410"/>
      <c r="J67" s="410"/>
      <c r="K67" s="410"/>
      <c r="L67" s="2"/>
      <c r="M67" s="410"/>
      <c r="N67" s="410"/>
      <c r="O67" s="410"/>
      <c r="P67" s="410"/>
      <c r="Q67" s="410"/>
      <c r="R67" s="2"/>
      <c r="S67" s="2"/>
      <c r="T67" s="2"/>
      <c r="U67" s="2"/>
      <c r="V67" s="2"/>
    </row>
    <row r="68" spans="1:22" ht="15.75">
      <c r="A68" s="2"/>
      <c r="B68" s="2"/>
      <c r="E68" s="410"/>
      <c r="F68" s="410"/>
      <c r="G68" s="410"/>
      <c r="H68" s="410"/>
      <c r="I68" s="410"/>
      <c r="J68" s="410"/>
      <c r="K68" s="410"/>
      <c r="L68" s="2"/>
      <c r="M68" s="410"/>
      <c r="N68" s="410"/>
      <c r="O68" s="410"/>
      <c r="P68" s="410"/>
      <c r="Q68" s="410"/>
      <c r="R68" s="2"/>
      <c r="S68" s="2"/>
      <c r="T68" s="2"/>
      <c r="U68" s="2"/>
      <c r="V68" s="2"/>
    </row>
    <row r="69" spans="1:22" ht="15.75">
      <c r="A69" s="2"/>
      <c r="B69" s="2"/>
      <c r="E69" s="410"/>
      <c r="F69" s="410"/>
      <c r="G69" s="410"/>
      <c r="H69" s="410"/>
      <c r="I69" s="410"/>
      <c r="J69" s="410"/>
      <c r="K69" s="410"/>
      <c r="L69" s="2"/>
      <c r="M69" s="410"/>
      <c r="N69" s="410"/>
      <c r="O69" s="410"/>
      <c r="P69" s="410"/>
      <c r="Q69" s="410"/>
      <c r="R69" s="2"/>
      <c r="S69" s="2"/>
      <c r="T69" s="2"/>
      <c r="U69" s="2"/>
      <c r="V69" s="2"/>
    </row>
    <row r="70" spans="1:22" ht="15.75">
      <c r="A70" s="2"/>
      <c r="B70" s="2"/>
      <c r="E70" s="410"/>
      <c r="F70" s="410"/>
      <c r="G70" s="410"/>
      <c r="H70" s="410"/>
      <c r="I70" s="410"/>
      <c r="J70" s="410"/>
      <c r="K70" s="410"/>
      <c r="L70" s="2"/>
      <c r="M70" s="410"/>
      <c r="N70" s="410"/>
      <c r="O70" s="410"/>
      <c r="P70" s="410"/>
      <c r="Q70" s="410"/>
      <c r="R70" s="2"/>
      <c r="S70" s="2"/>
      <c r="T70" s="2"/>
      <c r="U70" s="2"/>
      <c r="V70" s="2"/>
    </row>
    <row r="71" spans="1:22" ht="15.75">
      <c r="A71" s="2"/>
      <c r="B71" s="2"/>
      <c r="E71" s="410"/>
      <c r="F71" s="410"/>
      <c r="G71" s="410"/>
      <c r="H71" s="410"/>
      <c r="I71" s="410"/>
      <c r="J71" s="410"/>
      <c r="K71" s="410"/>
      <c r="L71" s="2"/>
      <c r="M71" s="410"/>
      <c r="N71" s="410"/>
      <c r="O71" s="410"/>
      <c r="P71" s="410"/>
      <c r="Q71" s="410"/>
      <c r="R71" s="2"/>
      <c r="S71" s="2"/>
      <c r="T71" s="2"/>
      <c r="U71" s="2"/>
      <c r="V71" s="2"/>
    </row>
    <row r="72" spans="1:22" ht="15.75">
      <c r="A72" s="2"/>
      <c r="B72" s="2"/>
      <c r="E72" s="410"/>
      <c r="F72" s="410"/>
      <c r="G72" s="410"/>
      <c r="H72" s="410"/>
      <c r="I72" s="410"/>
      <c r="J72" s="410"/>
      <c r="K72" s="410"/>
      <c r="L72" s="2"/>
      <c r="M72" s="410"/>
      <c r="N72" s="410"/>
      <c r="O72" s="410"/>
      <c r="P72" s="410"/>
      <c r="Q72" s="410"/>
      <c r="R72" s="2"/>
      <c r="S72" s="2"/>
      <c r="T72" s="2"/>
      <c r="U72" s="2"/>
      <c r="V72" s="2"/>
    </row>
    <row r="73" spans="1:22" ht="15.75">
      <c r="A73" s="2"/>
      <c r="B73" s="2"/>
      <c r="E73" s="410"/>
      <c r="F73" s="410"/>
      <c r="G73" s="410"/>
      <c r="H73" s="410"/>
      <c r="I73" s="410"/>
      <c r="J73" s="410"/>
      <c r="K73" s="410"/>
      <c r="L73" s="2"/>
      <c r="M73" s="410"/>
      <c r="N73" s="410"/>
      <c r="O73" s="410"/>
      <c r="P73" s="410"/>
      <c r="Q73" s="410"/>
      <c r="R73" s="2"/>
      <c r="S73" s="2"/>
      <c r="T73" s="2"/>
      <c r="U73" s="2"/>
      <c r="V73" s="2"/>
    </row>
    <row r="74" spans="1:22" ht="15.75">
      <c r="A74" s="2"/>
      <c r="B74" s="2"/>
      <c r="E74" s="410"/>
      <c r="F74" s="410"/>
      <c r="G74" s="410"/>
      <c r="H74" s="410"/>
      <c r="I74" s="410"/>
      <c r="J74" s="410"/>
      <c r="K74" s="410"/>
      <c r="L74" s="2"/>
      <c r="M74" s="410"/>
      <c r="N74" s="410"/>
      <c r="O74" s="410"/>
      <c r="P74" s="410"/>
      <c r="Q74" s="410"/>
      <c r="R74" s="2"/>
      <c r="S74" s="2"/>
      <c r="T74" s="2"/>
      <c r="U74" s="2"/>
      <c r="V74" s="2"/>
    </row>
    <row r="75" spans="1:22" ht="15.75">
      <c r="A75" s="2"/>
      <c r="B75" s="2"/>
      <c r="E75" s="410"/>
      <c r="F75" s="410"/>
      <c r="G75" s="410"/>
      <c r="H75" s="410"/>
      <c r="I75" s="410"/>
      <c r="J75" s="410"/>
      <c r="K75" s="410"/>
      <c r="L75" s="2"/>
      <c r="M75" s="410"/>
      <c r="N75" s="410"/>
      <c r="O75" s="410"/>
      <c r="P75" s="410"/>
      <c r="Q75" s="410"/>
      <c r="R75" s="2"/>
      <c r="S75" s="2"/>
      <c r="T75" s="2"/>
      <c r="U75" s="2"/>
      <c r="V75" s="2"/>
    </row>
    <row r="76" spans="1:22" ht="15.75">
      <c r="A76" s="2"/>
      <c r="B76" s="2"/>
      <c r="E76" s="410"/>
      <c r="F76" s="410"/>
      <c r="G76" s="410"/>
      <c r="H76" s="410"/>
      <c r="I76" s="410"/>
      <c r="J76" s="410"/>
      <c r="K76" s="410"/>
      <c r="L76" s="2"/>
      <c r="M76" s="410"/>
      <c r="N76" s="410"/>
      <c r="O76" s="410"/>
      <c r="P76" s="410"/>
      <c r="Q76" s="410"/>
      <c r="R76" s="2"/>
      <c r="S76" s="2"/>
      <c r="T76" s="2"/>
      <c r="U76" s="2"/>
      <c r="V76" s="2"/>
    </row>
    <row r="77" spans="1:22" ht="15.75">
      <c r="A77" s="2"/>
      <c r="B77" s="2"/>
      <c r="E77" s="410"/>
      <c r="F77" s="410"/>
      <c r="G77" s="410"/>
      <c r="H77" s="410"/>
      <c r="I77" s="410"/>
      <c r="J77" s="410"/>
      <c r="K77" s="410"/>
      <c r="L77" s="2"/>
      <c r="M77" s="410"/>
      <c r="N77" s="410"/>
      <c r="O77" s="410"/>
      <c r="P77" s="410"/>
      <c r="Q77" s="410"/>
      <c r="R77" s="2"/>
      <c r="S77" s="2"/>
      <c r="T77" s="2"/>
      <c r="U77" s="2"/>
      <c r="V77" s="2"/>
    </row>
    <row r="78" spans="1:22" ht="15.75">
      <c r="A78" s="2"/>
      <c r="B78" s="2"/>
      <c r="E78" s="410"/>
      <c r="F78" s="410"/>
      <c r="G78" s="410"/>
      <c r="H78" s="410"/>
      <c r="I78" s="410"/>
      <c r="J78" s="410"/>
      <c r="K78" s="410"/>
      <c r="L78" s="2"/>
      <c r="M78" s="410"/>
      <c r="N78" s="410"/>
      <c r="O78" s="410"/>
      <c r="P78" s="410"/>
      <c r="Q78" s="410"/>
      <c r="R78" s="2"/>
      <c r="S78" s="2"/>
      <c r="T78" s="2"/>
      <c r="U78" s="2"/>
      <c r="V78" s="2"/>
    </row>
    <row r="79" spans="1:22" ht="15.75">
      <c r="A79" s="2"/>
      <c r="B79" s="2"/>
      <c r="E79" s="410"/>
      <c r="F79" s="410"/>
      <c r="G79" s="410"/>
      <c r="H79" s="410"/>
      <c r="I79" s="410"/>
      <c r="J79" s="410"/>
      <c r="K79" s="410"/>
      <c r="L79" s="2"/>
      <c r="M79" s="410"/>
      <c r="N79" s="410"/>
      <c r="O79" s="410"/>
      <c r="P79" s="410"/>
      <c r="Q79" s="410"/>
      <c r="R79" s="2"/>
      <c r="S79" s="2"/>
      <c r="T79" s="2"/>
      <c r="U79" s="2"/>
      <c r="V79" s="2"/>
    </row>
    <row r="80" spans="1:22" ht="15.75">
      <c r="A80" s="2"/>
      <c r="B80" s="2"/>
      <c r="E80" s="410"/>
      <c r="F80" s="410"/>
      <c r="G80" s="410"/>
      <c r="H80" s="410"/>
      <c r="I80" s="410"/>
      <c r="J80" s="410"/>
      <c r="K80" s="410"/>
      <c r="L80" s="2"/>
      <c r="M80" s="410"/>
      <c r="N80" s="410"/>
      <c r="O80" s="410"/>
      <c r="P80" s="410"/>
      <c r="Q80" s="410"/>
      <c r="R80" s="2"/>
      <c r="S80" s="2"/>
      <c r="T80" s="2"/>
      <c r="U80" s="2"/>
      <c r="V80" s="2"/>
    </row>
    <row r="81" spans="1:22" ht="15.75">
      <c r="A81" s="2"/>
      <c r="B81" s="2"/>
      <c r="E81" s="410"/>
      <c r="F81" s="410"/>
      <c r="G81" s="410"/>
      <c r="H81" s="410"/>
      <c r="I81" s="410"/>
      <c r="J81" s="410"/>
      <c r="K81" s="410"/>
      <c r="L81" s="2"/>
      <c r="M81" s="410"/>
      <c r="N81" s="410"/>
      <c r="O81" s="410"/>
      <c r="P81" s="410"/>
      <c r="Q81" s="410"/>
      <c r="R81" s="2"/>
      <c r="S81" s="2"/>
      <c r="T81" s="2"/>
      <c r="U81" s="2"/>
      <c r="V81" s="2"/>
    </row>
    <row r="82" spans="1:22" ht="15.75">
      <c r="A82" s="2"/>
      <c r="B82" s="2"/>
      <c r="E82" s="410"/>
      <c r="F82" s="410"/>
      <c r="G82" s="410"/>
      <c r="H82" s="410"/>
      <c r="I82" s="410"/>
      <c r="J82" s="410"/>
      <c r="K82" s="410"/>
      <c r="L82" s="2"/>
      <c r="M82" s="410"/>
      <c r="N82" s="410"/>
      <c r="O82" s="410"/>
      <c r="P82" s="410"/>
      <c r="Q82" s="410"/>
      <c r="R82" s="2"/>
      <c r="S82" s="2"/>
      <c r="T82" s="2"/>
      <c r="U82" s="2"/>
      <c r="V82" s="2"/>
    </row>
    <row r="83" spans="1:22" ht="15.75">
      <c r="A83" s="2"/>
      <c r="B83" s="2"/>
      <c r="E83" s="410"/>
      <c r="F83" s="410"/>
      <c r="G83" s="410"/>
      <c r="H83" s="410"/>
      <c r="I83" s="410"/>
      <c r="J83" s="410"/>
      <c r="K83" s="410"/>
      <c r="L83" s="2"/>
      <c r="M83" s="410"/>
      <c r="N83" s="410"/>
      <c r="O83" s="410"/>
      <c r="P83" s="410"/>
      <c r="Q83" s="410"/>
      <c r="R83" s="2"/>
      <c r="S83" s="2"/>
      <c r="T83" s="2"/>
      <c r="U83" s="2"/>
      <c r="V83" s="2"/>
    </row>
    <row r="84" spans="1:22" ht="15.75">
      <c r="A84" s="2"/>
      <c r="B84" s="2"/>
      <c r="E84" s="410"/>
      <c r="F84" s="410"/>
      <c r="G84" s="410"/>
      <c r="H84" s="410"/>
      <c r="I84" s="410"/>
      <c r="J84" s="410"/>
      <c r="K84" s="410"/>
      <c r="L84" s="2"/>
      <c r="M84" s="410"/>
      <c r="N84" s="410"/>
      <c r="O84" s="410"/>
      <c r="P84" s="410"/>
      <c r="Q84" s="410"/>
      <c r="R84" s="2"/>
      <c r="S84" s="2"/>
      <c r="T84" s="2"/>
      <c r="U84" s="2"/>
      <c r="V84" s="2"/>
    </row>
    <row r="85" spans="1:22" ht="15.75">
      <c r="A85" s="2"/>
      <c r="B85" s="2"/>
      <c r="E85" s="410"/>
      <c r="F85" s="410"/>
      <c r="G85" s="410"/>
      <c r="H85" s="410"/>
      <c r="I85" s="410"/>
      <c r="J85" s="410"/>
      <c r="K85" s="410"/>
      <c r="L85" s="2"/>
      <c r="M85" s="410"/>
      <c r="N85" s="410"/>
      <c r="O85" s="410"/>
      <c r="P85" s="410"/>
      <c r="Q85" s="410"/>
      <c r="R85" s="2"/>
      <c r="S85" s="2"/>
      <c r="T85" s="2"/>
      <c r="U85" s="2"/>
      <c r="V85" s="2"/>
    </row>
    <row r="86" spans="1:22" ht="15.75">
      <c r="A86" s="2"/>
      <c r="B86" s="2"/>
      <c r="E86" s="410"/>
      <c r="F86" s="410"/>
      <c r="G86" s="410"/>
      <c r="H86" s="410"/>
      <c r="I86" s="410"/>
      <c r="J86" s="410"/>
      <c r="K86" s="410"/>
      <c r="L86" s="2"/>
      <c r="M86" s="410"/>
      <c r="N86" s="410"/>
      <c r="O86" s="410"/>
      <c r="P86" s="410"/>
      <c r="Q86" s="410"/>
      <c r="R86" s="2"/>
      <c r="S86" s="2"/>
      <c r="T86" s="2"/>
      <c r="U86" s="2"/>
      <c r="V86" s="2"/>
    </row>
    <row r="87" spans="1:22" ht="15.75">
      <c r="A87" s="2"/>
      <c r="B87" s="2"/>
      <c r="E87" s="410"/>
      <c r="F87" s="410"/>
      <c r="G87" s="410"/>
      <c r="H87" s="410"/>
      <c r="I87" s="410"/>
      <c r="J87" s="410"/>
      <c r="K87" s="410"/>
      <c r="L87" s="2"/>
      <c r="M87" s="410"/>
      <c r="N87" s="410"/>
      <c r="O87" s="410"/>
      <c r="P87" s="410"/>
      <c r="Q87" s="410"/>
      <c r="R87" s="2"/>
      <c r="S87" s="2"/>
      <c r="T87" s="2"/>
      <c r="U87" s="2"/>
      <c r="V87" s="2"/>
    </row>
    <row r="88" spans="1:22" ht="15.75">
      <c r="A88" s="2"/>
      <c r="B88" s="2"/>
      <c r="E88" s="410"/>
      <c r="F88" s="410"/>
      <c r="G88" s="410"/>
      <c r="H88" s="410"/>
      <c r="I88" s="410"/>
      <c r="J88" s="410"/>
      <c r="K88" s="410"/>
      <c r="L88" s="2"/>
      <c r="M88" s="410"/>
      <c r="N88" s="410"/>
      <c r="O88" s="410"/>
      <c r="P88" s="410"/>
      <c r="Q88" s="410"/>
      <c r="R88" s="2"/>
      <c r="S88" s="2"/>
      <c r="T88" s="2"/>
      <c r="U88" s="2"/>
      <c r="V88" s="2"/>
    </row>
    <row r="89" spans="1:22" ht="15.75">
      <c r="A89" s="2"/>
      <c r="B89" s="2"/>
      <c r="E89" s="410"/>
      <c r="F89" s="410"/>
      <c r="G89" s="410"/>
      <c r="H89" s="410"/>
      <c r="I89" s="410"/>
      <c r="J89" s="410"/>
      <c r="K89" s="410"/>
      <c r="L89" s="2"/>
      <c r="M89" s="410"/>
      <c r="N89" s="410"/>
      <c r="O89" s="410"/>
      <c r="P89" s="410"/>
      <c r="Q89" s="410"/>
      <c r="R89" s="2"/>
      <c r="S89" s="2"/>
      <c r="T89" s="2"/>
      <c r="U89" s="2"/>
      <c r="V89" s="2"/>
    </row>
    <row r="90" spans="1:22" ht="15.75">
      <c r="A90" s="2"/>
      <c r="B90" s="2"/>
      <c r="E90" s="410"/>
      <c r="F90" s="410"/>
      <c r="G90" s="410"/>
      <c r="H90" s="410"/>
      <c r="I90" s="410"/>
      <c r="J90" s="410"/>
      <c r="K90" s="410"/>
      <c r="L90" s="2"/>
      <c r="M90" s="410"/>
      <c r="N90" s="410"/>
      <c r="O90" s="410"/>
      <c r="P90" s="410"/>
      <c r="Q90" s="410"/>
      <c r="R90" s="2"/>
      <c r="S90" s="2"/>
      <c r="T90" s="2"/>
      <c r="U90" s="2"/>
      <c r="V90" s="2"/>
    </row>
    <row r="91" spans="1:22" ht="15.75">
      <c r="A91" s="2"/>
      <c r="B91" s="2"/>
      <c r="E91" s="410"/>
      <c r="F91" s="410"/>
      <c r="G91" s="410"/>
      <c r="H91" s="410"/>
      <c r="I91" s="410"/>
      <c r="J91" s="410"/>
      <c r="K91" s="410"/>
      <c r="L91" s="2"/>
      <c r="M91" s="410"/>
      <c r="N91" s="410"/>
      <c r="O91" s="410"/>
      <c r="P91" s="410"/>
      <c r="Q91" s="410"/>
      <c r="R91" s="2"/>
      <c r="S91" s="2"/>
      <c r="T91" s="2"/>
      <c r="U91" s="2"/>
      <c r="V91" s="2"/>
    </row>
    <row r="92" spans="1:22" ht="15.75">
      <c r="A92" s="2"/>
      <c r="B92" s="2"/>
      <c r="E92" s="410"/>
      <c r="F92" s="410"/>
      <c r="G92" s="410"/>
      <c r="H92" s="410"/>
      <c r="I92" s="410"/>
      <c r="J92" s="410"/>
      <c r="K92" s="410"/>
      <c r="L92" s="2"/>
      <c r="M92" s="410"/>
      <c r="N92" s="410"/>
      <c r="O92" s="410"/>
      <c r="P92" s="410"/>
      <c r="Q92" s="410"/>
      <c r="R92" s="2"/>
      <c r="S92" s="2"/>
      <c r="T92" s="2"/>
      <c r="U92" s="2"/>
      <c r="V92" s="2"/>
    </row>
    <row r="93" spans="1:22" ht="15.75">
      <c r="A93" s="2"/>
      <c r="B93" s="2"/>
      <c r="E93" s="410"/>
      <c r="F93" s="410"/>
      <c r="G93" s="410"/>
      <c r="H93" s="410"/>
      <c r="I93" s="410"/>
      <c r="J93" s="410"/>
      <c r="K93" s="410"/>
      <c r="L93" s="2"/>
      <c r="M93" s="410"/>
      <c r="N93" s="410"/>
      <c r="O93" s="410"/>
      <c r="P93" s="410"/>
      <c r="Q93" s="410"/>
      <c r="R93" s="2"/>
      <c r="S93" s="2"/>
      <c r="T93" s="2"/>
      <c r="U93" s="2"/>
      <c r="V93" s="2"/>
    </row>
    <row r="94" spans="1:22" ht="15.75">
      <c r="A94" s="2"/>
      <c r="B94" s="2"/>
      <c r="E94" s="410"/>
      <c r="F94" s="410"/>
      <c r="G94" s="410"/>
      <c r="H94" s="410"/>
      <c r="I94" s="410"/>
      <c r="J94" s="410"/>
      <c r="K94" s="410"/>
      <c r="L94" s="2"/>
      <c r="M94" s="410"/>
      <c r="N94" s="410"/>
      <c r="O94" s="410"/>
      <c r="P94" s="410"/>
      <c r="Q94" s="410"/>
      <c r="R94" s="2"/>
      <c r="S94" s="2"/>
      <c r="T94" s="2"/>
      <c r="U94" s="2"/>
      <c r="V94" s="2"/>
    </row>
    <row r="95" spans="1:22" ht="15.75">
      <c r="A95" s="2"/>
      <c r="B95" s="2"/>
      <c r="E95" s="410"/>
      <c r="F95" s="410"/>
      <c r="G95" s="410"/>
      <c r="H95" s="410"/>
      <c r="I95" s="410"/>
      <c r="J95" s="410"/>
      <c r="K95" s="410"/>
      <c r="L95" s="2"/>
      <c r="M95" s="410"/>
      <c r="N95" s="410"/>
      <c r="O95" s="410"/>
      <c r="P95" s="410"/>
      <c r="Q95" s="410"/>
      <c r="R95" s="2"/>
      <c r="S95" s="2"/>
      <c r="T95" s="2"/>
      <c r="U95" s="2"/>
      <c r="V95" s="2"/>
    </row>
    <row r="96" spans="1:22" ht="15.75">
      <c r="A96" s="2"/>
      <c r="B96" s="2"/>
      <c r="E96" s="410"/>
      <c r="F96" s="410"/>
      <c r="G96" s="410"/>
      <c r="H96" s="410"/>
      <c r="I96" s="410"/>
      <c r="J96" s="410"/>
      <c r="K96" s="410"/>
      <c r="L96" s="2"/>
      <c r="M96" s="410"/>
      <c r="N96" s="410"/>
      <c r="O96" s="410"/>
      <c r="P96" s="410"/>
      <c r="Q96" s="410"/>
      <c r="R96" s="2"/>
      <c r="S96" s="2"/>
      <c r="T96" s="2"/>
      <c r="U96" s="2"/>
      <c r="V96" s="2"/>
    </row>
    <row r="97" spans="1:22" ht="15.75">
      <c r="A97" s="2"/>
      <c r="B97" s="2"/>
      <c r="E97" s="410"/>
      <c r="F97" s="410"/>
      <c r="G97" s="410"/>
      <c r="H97" s="410"/>
      <c r="I97" s="410"/>
      <c r="J97" s="410"/>
      <c r="K97" s="410"/>
      <c r="L97" s="2"/>
      <c r="M97" s="410"/>
      <c r="N97" s="410"/>
      <c r="O97" s="410"/>
      <c r="P97" s="410"/>
      <c r="Q97" s="410"/>
      <c r="R97" s="2"/>
      <c r="S97" s="2"/>
      <c r="T97" s="2"/>
      <c r="U97" s="2"/>
      <c r="V97" s="2"/>
    </row>
    <row r="98" spans="1:22" ht="15.75">
      <c r="A98" s="2"/>
      <c r="B98" s="2"/>
      <c r="E98" s="410"/>
      <c r="F98" s="410"/>
      <c r="G98" s="410"/>
      <c r="H98" s="410"/>
      <c r="I98" s="410"/>
      <c r="J98" s="410"/>
      <c r="K98" s="410"/>
      <c r="L98" s="2"/>
      <c r="M98" s="410"/>
      <c r="N98" s="410"/>
      <c r="O98" s="410"/>
      <c r="P98" s="410"/>
      <c r="Q98" s="410"/>
      <c r="R98" s="2"/>
      <c r="S98" s="2"/>
      <c r="T98" s="2"/>
      <c r="U98" s="2"/>
      <c r="V98" s="2"/>
    </row>
    <row r="99" spans="1:22" ht="15.75">
      <c r="A99" s="2"/>
      <c r="B99" s="2"/>
      <c r="E99" s="410"/>
      <c r="F99" s="410"/>
      <c r="G99" s="410"/>
      <c r="H99" s="410"/>
      <c r="I99" s="410"/>
      <c r="J99" s="410"/>
      <c r="K99" s="410"/>
      <c r="L99" s="2"/>
      <c r="M99" s="410"/>
      <c r="N99" s="410"/>
      <c r="O99" s="410"/>
      <c r="P99" s="410"/>
      <c r="Q99" s="410"/>
      <c r="R99" s="2"/>
      <c r="S99" s="2"/>
      <c r="T99" s="2"/>
      <c r="U99" s="2"/>
      <c r="V99" s="2"/>
    </row>
    <row r="100" spans="1:22">
      <c r="A100" s="27"/>
      <c r="B100" s="27"/>
      <c r="C100" s="27"/>
      <c r="D100" s="27"/>
      <c r="E100" s="27"/>
      <c r="F100" s="27"/>
      <c r="G100" s="27"/>
      <c r="H100" s="27"/>
      <c r="I100" s="27"/>
      <c r="J100" s="27"/>
      <c r="K100" s="27"/>
      <c r="L100" s="27"/>
      <c r="M100" s="27"/>
      <c r="N100" s="27"/>
      <c r="O100" s="27"/>
      <c r="P100" s="27"/>
      <c r="Q100" s="27"/>
      <c r="R100" s="27"/>
      <c r="S100" s="27"/>
      <c r="T100" s="27"/>
      <c r="U100" s="27"/>
      <c r="V100" s="27"/>
    </row>
    <row r="101" spans="1:22">
      <c r="A101" s="27"/>
      <c r="B101" s="27"/>
      <c r="C101" s="27"/>
      <c r="D101" s="27"/>
      <c r="E101" s="27"/>
      <c r="F101" s="27"/>
      <c r="G101" s="27"/>
      <c r="H101" s="27"/>
      <c r="I101" s="27"/>
      <c r="J101" s="27"/>
      <c r="K101" s="27"/>
      <c r="L101" s="27"/>
      <c r="M101" s="27"/>
      <c r="N101" s="27"/>
      <c r="O101" s="27"/>
      <c r="P101" s="27"/>
      <c r="Q101" s="27"/>
      <c r="R101" s="27"/>
      <c r="S101" s="27"/>
      <c r="T101" s="27"/>
      <c r="U101" s="27"/>
      <c r="V101" s="27"/>
    </row>
    <row r="102" spans="1:22">
      <c r="A102" s="27"/>
      <c r="B102" s="27"/>
      <c r="C102" s="27"/>
      <c r="D102" s="27"/>
      <c r="E102" s="27"/>
      <c r="F102" s="27"/>
      <c r="G102" s="27"/>
      <c r="H102" s="27"/>
      <c r="I102" s="27"/>
      <c r="J102" s="27"/>
      <c r="K102" s="27"/>
      <c r="L102" s="27"/>
      <c r="M102" s="27"/>
      <c r="N102" s="27"/>
      <c r="O102" s="27"/>
      <c r="P102" s="27"/>
      <c r="Q102" s="27"/>
      <c r="R102" s="27"/>
      <c r="S102" s="27"/>
      <c r="T102" s="27"/>
      <c r="U102" s="27"/>
      <c r="V102" s="27"/>
    </row>
    <row r="103" spans="1:22">
      <c r="A103" s="27"/>
      <c r="B103" s="27"/>
      <c r="C103" s="27"/>
      <c r="D103" s="27"/>
      <c r="E103" s="27"/>
      <c r="F103" s="27"/>
      <c r="G103" s="27"/>
      <c r="H103" s="27"/>
      <c r="I103" s="27"/>
      <c r="J103" s="27"/>
      <c r="K103" s="27"/>
      <c r="L103" s="27"/>
      <c r="M103" s="27"/>
      <c r="N103" s="27"/>
      <c r="O103" s="27"/>
      <c r="P103" s="27"/>
      <c r="Q103" s="27"/>
      <c r="R103" s="27"/>
      <c r="S103" s="27"/>
      <c r="T103" s="27"/>
      <c r="U103" s="27"/>
      <c r="V103" s="27"/>
    </row>
    <row r="104" spans="1:22">
      <c r="A104" s="27"/>
      <c r="B104" s="27"/>
      <c r="C104" s="27"/>
      <c r="D104" s="27"/>
      <c r="E104" s="27"/>
      <c r="F104" s="27"/>
      <c r="G104" s="27"/>
      <c r="H104" s="27"/>
      <c r="I104" s="27"/>
      <c r="J104" s="27"/>
      <c r="K104" s="27"/>
      <c r="L104" s="27"/>
      <c r="M104" s="27"/>
      <c r="N104" s="27"/>
      <c r="O104" s="27"/>
      <c r="P104" s="27"/>
      <c r="Q104" s="27"/>
      <c r="R104" s="27"/>
      <c r="S104" s="27"/>
      <c r="T104" s="27"/>
      <c r="U104" s="27"/>
      <c r="V104" s="27"/>
    </row>
    <row r="105" spans="1:22">
      <c r="A105" s="27"/>
      <c r="B105" s="27"/>
      <c r="C105" s="27"/>
      <c r="D105" s="27"/>
      <c r="E105" s="27"/>
      <c r="F105" s="27"/>
      <c r="G105" s="27"/>
      <c r="H105" s="27"/>
      <c r="I105" s="27"/>
      <c r="J105" s="27"/>
      <c r="K105" s="27"/>
      <c r="L105" s="27"/>
      <c r="M105" s="27"/>
      <c r="N105" s="27"/>
      <c r="O105" s="27"/>
      <c r="P105" s="27"/>
      <c r="Q105" s="27"/>
      <c r="R105" s="27"/>
      <c r="S105" s="27"/>
      <c r="T105" s="27"/>
      <c r="U105" s="27"/>
      <c r="V105" s="27"/>
    </row>
    <row r="106" spans="1:22">
      <c r="A106" s="27"/>
      <c r="B106" s="27"/>
      <c r="C106" s="27"/>
      <c r="D106" s="27"/>
      <c r="E106" s="27"/>
      <c r="F106" s="27"/>
      <c r="G106" s="27"/>
      <c r="H106" s="27"/>
      <c r="I106" s="27"/>
      <c r="J106" s="27"/>
      <c r="K106" s="27"/>
      <c r="L106" s="27"/>
      <c r="M106" s="27"/>
      <c r="N106" s="27"/>
      <c r="O106" s="27"/>
      <c r="P106" s="27"/>
      <c r="Q106" s="27"/>
      <c r="R106" s="27"/>
      <c r="S106" s="27"/>
      <c r="T106" s="27"/>
      <c r="U106" s="27"/>
      <c r="V106" s="27"/>
    </row>
    <row r="107" spans="1:22" ht="12.75" customHeight="1">
      <c r="A107" s="27"/>
      <c r="B107" s="27"/>
      <c r="C107" s="27"/>
      <c r="D107" s="27"/>
      <c r="E107" s="27"/>
      <c r="F107" s="27"/>
      <c r="G107" s="27"/>
      <c r="H107" s="27"/>
      <c r="I107" s="27"/>
      <c r="J107" s="27"/>
      <c r="K107" s="27"/>
      <c r="L107" s="27"/>
      <c r="M107" s="27"/>
      <c r="N107" s="27"/>
      <c r="O107" s="27"/>
      <c r="P107" s="27"/>
      <c r="Q107" s="27"/>
      <c r="R107" s="27"/>
      <c r="S107" s="27"/>
      <c r="T107" s="27"/>
      <c r="U107" s="27"/>
      <c r="V107" s="27"/>
    </row>
    <row r="108" spans="1:22" ht="12.75" customHeight="1">
      <c r="A108" s="27"/>
      <c r="B108" s="27"/>
      <c r="C108" s="27"/>
      <c r="D108" s="27"/>
      <c r="E108" s="27"/>
      <c r="F108" s="27"/>
      <c r="G108" s="27"/>
      <c r="H108" s="27"/>
      <c r="I108" s="27"/>
      <c r="J108" s="27"/>
      <c r="K108" s="27"/>
      <c r="L108" s="27"/>
      <c r="M108" s="27"/>
      <c r="N108" s="27"/>
      <c r="O108" s="27"/>
      <c r="P108" s="27"/>
      <c r="Q108" s="27"/>
      <c r="R108" s="27"/>
      <c r="S108" s="27"/>
      <c r="T108" s="27"/>
      <c r="U108" s="27"/>
      <c r="V108" s="27"/>
    </row>
    <row r="109" spans="1:22" ht="12.75" customHeight="1">
      <c r="A109" s="27"/>
      <c r="B109" s="27"/>
      <c r="C109" s="27"/>
      <c r="D109" s="27"/>
      <c r="E109" s="27"/>
      <c r="F109" s="27"/>
      <c r="G109" s="27"/>
      <c r="H109" s="27"/>
      <c r="I109" s="27"/>
      <c r="J109" s="27"/>
      <c r="K109" s="27"/>
      <c r="L109" s="27"/>
      <c r="M109" s="27"/>
      <c r="N109" s="27"/>
      <c r="O109" s="27"/>
      <c r="P109" s="27"/>
      <c r="Q109" s="27"/>
      <c r="R109" s="27"/>
      <c r="S109" s="27"/>
      <c r="T109" s="27"/>
      <c r="U109" s="27"/>
      <c r="V109" s="27"/>
    </row>
    <row r="110" spans="1:22" ht="12.75" customHeight="1">
      <c r="A110" s="27"/>
      <c r="B110" s="27"/>
      <c r="C110" s="27"/>
      <c r="D110" s="27"/>
      <c r="E110" s="27"/>
      <c r="F110" s="27"/>
      <c r="G110" s="27"/>
      <c r="H110" s="27"/>
      <c r="I110" s="27"/>
      <c r="J110" s="27"/>
      <c r="K110" s="27"/>
      <c r="L110" s="27"/>
      <c r="M110" s="27"/>
      <c r="N110" s="27"/>
      <c r="O110" s="27"/>
      <c r="P110" s="27"/>
      <c r="Q110" s="27"/>
      <c r="R110" s="27"/>
      <c r="S110" s="27"/>
      <c r="T110" s="27"/>
      <c r="U110" s="27"/>
      <c r="V110" s="27"/>
    </row>
    <row r="111" spans="1:22" ht="12.75" customHeight="1">
      <c r="A111" s="27"/>
      <c r="B111" s="27"/>
      <c r="C111" s="27"/>
      <c r="D111" s="27"/>
      <c r="E111" s="27"/>
      <c r="F111" s="27"/>
      <c r="G111" s="27"/>
      <c r="H111" s="27"/>
      <c r="I111" s="27"/>
      <c r="J111" s="27"/>
      <c r="K111" s="27"/>
      <c r="L111" s="27"/>
      <c r="M111" s="27"/>
      <c r="N111" s="27"/>
      <c r="O111" s="27"/>
      <c r="P111" s="27"/>
      <c r="Q111" s="27"/>
      <c r="R111" s="27"/>
      <c r="S111" s="27"/>
      <c r="T111" s="27"/>
      <c r="U111" s="27"/>
      <c r="V111" s="27"/>
    </row>
    <row r="112" spans="1:22" ht="12.75" customHeight="1">
      <c r="A112" s="27"/>
      <c r="B112" s="27"/>
      <c r="C112" s="27"/>
      <c r="D112" s="27"/>
      <c r="E112" s="27"/>
      <c r="F112" s="27"/>
      <c r="G112" s="27"/>
      <c r="H112" s="27"/>
      <c r="I112" s="27"/>
      <c r="J112" s="27"/>
      <c r="K112" s="27"/>
      <c r="L112" s="27"/>
      <c r="M112" s="27"/>
      <c r="N112" s="27"/>
      <c r="O112" s="27"/>
      <c r="P112" s="27"/>
      <c r="Q112" s="27"/>
      <c r="R112" s="27"/>
      <c r="S112" s="27"/>
      <c r="T112" s="27"/>
      <c r="U112" s="27"/>
      <c r="V112" s="27"/>
    </row>
    <row r="113" spans="1:22" ht="12.75" customHeight="1">
      <c r="A113" s="27"/>
      <c r="B113" s="27"/>
      <c r="C113" s="27"/>
      <c r="D113" s="27"/>
      <c r="E113" s="27"/>
      <c r="F113" s="27"/>
      <c r="G113" s="27"/>
      <c r="H113" s="27"/>
      <c r="I113" s="27"/>
      <c r="J113" s="27"/>
      <c r="K113" s="27"/>
      <c r="L113" s="27"/>
      <c r="M113" s="27"/>
      <c r="N113" s="27"/>
      <c r="O113" s="27"/>
      <c r="P113" s="27"/>
      <c r="Q113" s="27"/>
      <c r="R113" s="27"/>
      <c r="S113" s="27"/>
      <c r="T113" s="27"/>
      <c r="U113" s="27"/>
      <c r="V113" s="27"/>
    </row>
    <row r="114" spans="1:22" ht="12.75" customHeight="1">
      <c r="A114" s="27"/>
      <c r="B114" s="27"/>
      <c r="C114" s="27"/>
      <c r="D114" s="27"/>
      <c r="E114" s="27"/>
      <c r="F114" s="27"/>
      <c r="G114" s="27"/>
      <c r="H114" s="27"/>
      <c r="I114" s="27"/>
      <c r="J114" s="27"/>
      <c r="K114" s="27"/>
      <c r="L114" s="27"/>
      <c r="M114" s="27"/>
      <c r="N114" s="27"/>
      <c r="O114" s="27"/>
      <c r="P114" s="27"/>
      <c r="Q114" s="27"/>
      <c r="R114" s="27"/>
      <c r="S114" s="27"/>
      <c r="T114" s="27"/>
      <c r="U114" s="27"/>
      <c r="V114" s="27"/>
    </row>
    <row r="115" spans="1:22" ht="12.75" customHeight="1">
      <c r="A115" s="27"/>
      <c r="B115" s="27"/>
      <c r="C115" s="27"/>
      <c r="D115" s="27"/>
      <c r="E115" s="27"/>
      <c r="F115" s="27"/>
      <c r="G115" s="27"/>
      <c r="H115" s="27"/>
      <c r="I115" s="27"/>
      <c r="J115" s="27"/>
      <c r="K115" s="27"/>
      <c r="L115" s="27"/>
      <c r="M115" s="27"/>
      <c r="N115" s="27"/>
      <c r="O115" s="27"/>
      <c r="P115" s="27"/>
      <c r="Q115" s="27"/>
      <c r="R115" s="27"/>
      <c r="S115" s="27"/>
      <c r="T115" s="27"/>
      <c r="U115" s="27"/>
      <c r="V115" s="27"/>
    </row>
    <row r="116" spans="1:22" ht="12.75" customHeight="1">
      <c r="A116" s="27"/>
      <c r="B116" s="27"/>
      <c r="C116" s="27"/>
      <c r="D116" s="27"/>
      <c r="E116" s="27"/>
      <c r="F116" s="27"/>
      <c r="G116" s="27"/>
      <c r="H116" s="27"/>
      <c r="I116" s="27"/>
      <c r="J116" s="27"/>
      <c r="K116" s="27"/>
      <c r="L116" s="27"/>
      <c r="M116" s="27"/>
      <c r="N116" s="27"/>
      <c r="O116" s="27"/>
      <c r="P116" s="27"/>
      <c r="Q116" s="27"/>
      <c r="R116" s="27"/>
      <c r="S116" s="27"/>
      <c r="T116" s="27"/>
      <c r="U116" s="27"/>
      <c r="V116" s="27"/>
    </row>
    <row r="117" spans="1:22" ht="12.75" customHeight="1">
      <c r="A117" s="27"/>
      <c r="B117" s="27"/>
      <c r="C117" s="27"/>
      <c r="D117" s="27"/>
      <c r="E117" s="27"/>
      <c r="F117" s="27"/>
      <c r="G117" s="27"/>
      <c r="H117" s="27"/>
      <c r="I117" s="27"/>
      <c r="J117" s="27"/>
      <c r="K117" s="27"/>
      <c r="L117" s="27"/>
      <c r="M117" s="27"/>
      <c r="N117" s="27"/>
      <c r="O117" s="27"/>
      <c r="P117" s="27"/>
      <c r="Q117" s="27"/>
      <c r="R117" s="27"/>
      <c r="S117" s="27"/>
      <c r="T117" s="27"/>
      <c r="U117" s="27"/>
      <c r="V117" s="27"/>
    </row>
    <row r="118" spans="1:22">
      <c r="A118" s="27"/>
      <c r="B118" s="27"/>
      <c r="C118" s="27"/>
      <c r="D118" s="27"/>
      <c r="E118" s="27"/>
      <c r="F118" s="27"/>
      <c r="G118" s="27"/>
      <c r="H118" s="27"/>
      <c r="I118" s="27"/>
      <c r="J118" s="27"/>
      <c r="K118" s="27"/>
      <c r="L118" s="27"/>
      <c r="M118" s="27"/>
      <c r="N118" s="27"/>
      <c r="O118" s="27"/>
      <c r="P118" s="27"/>
      <c r="Q118" s="27"/>
      <c r="R118" s="27"/>
      <c r="S118" s="27"/>
      <c r="T118" s="27"/>
      <c r="U118" s="27"/>
      <c r="V118" s="27"/>
    </row>
    <row r="119" spans="1:22">
      <c r="A119" s="27"/>
      <c r="B119" s="27"/>
      <c r="C119" s="27"/>
      <c r="D119" s="27"/>
      <c r="E119" s="27"/>
      <c r="F119" s="27"/>
      <c r="G119" s="27"/>
      <c r="H119" s="27"/>
      <c r="I119" s="27"/>
      <c r="J119" s="27"/>
      <c r="K119" s="27"/>
      <c r="L119" s="27"/>
      <c r="M119" s="27"/>
      <c r="N119" s="27"/>
      <c r="O119" s="27"/>
      <c r="P119" s="27"/>
      <c r="Q119" s="27"/>
      <c r="R119" s="27"/>
      <c r="S119" s="27"/>
      <c r="T119" s="27"/>
      <c r="U119" s="27"/>
      <c r="V119" s="27"/>
    </row>
    <row r="120" spans="1:22">
      <c r="A120" s="27"/>
      <c r="B120" s="27"/>
      <c r="C120" s="27"/>
      <c r="D120" s="27"/>
      <c r="E120" s="27"/>
      <c r="F120" s="27"/>
      <c r="G120" s="27"/>
      <c r="H120" s="27"/>
      <c r="I120" s="27"/>
      <c r="J120" s="27"/>
      <c r="K120" s="27"/>
      <c r="L120" s="27"/>
      <c r="M120" s="27"/>
      <c r="N120" s="27"/>
      <c r="O120" s="27"/>
      <c r="P120" s="27"/>
      <c r="Q120" s="27"/>
      <c r="R120" s="27"/>
      <c r="S120" s="27"/>
      <c r="T120" s="27"/>
      <c r="U120" s="27"/>
      <c r="V120" s="27"/>
    </row>
    <row r="121" spans="1:22">
      <c r="A121" s="27"/>
      <c r="B121" s="27"/>
      <c r="C121" s="27"/>
      <c r="D121" s="27"/>
      <c r="E121" s="27"/>
      <c r="F121" s="27"/>
      <c r="G121" s="27"/>
      <c r="H121" s="27"/>
      <c r="I121" s="27"/>
      <c r="J121" s="27"/>
      <c r="K121" s="27"/>
      <c r="L121" s="27"/>
      <c r="M121" s="27"/>
      <c r="N121" s="27"/>
      <c r="O121" s="27"/>
      <c r="P121" s="27"/>
      <c r="Q121" s="27"/>
      <c r="R121" s="27"/>
      <c r="S121" s="27"/>
      <c r="T121" s="27"/>
      <c r="U121" s="27"/>
      <c r="V121" s="27"/>
    </row>
    <row r="122" spans="1:22">
      <c r="A122" s="27"/>
      <c r="B122" s="27"/>
      <c r="C122" s="27"/>
      <c r="D122" s="27"/>
      <c r="E122" s="27"/>
      <c r="F122" s="27"/>
      <c r="G122" s="27"/>
      <c r="H122" s="27"/>
      <c r="I122" s="27"/>
      <c r="J122" s="27"/>
      <c r="K122" s="27"/>
      <c r="L122" s="27"/>
      <c r="M122" s="27"/>
      <c r="N122" s="27"/>
      <c r="O122" s="27"/>
      <c r="P122" s="27"/>
      <c r="Q122" s="27"/>
      <c r="R122" s="27"/>
      <c r="S122" s="27"/>
      <c r="T122" s="27"/>
      <c r="U122" s="27"/>
      <c r="V122" s="27"/>
    </row>
    <row r="123" spans="1:22">
      <c r="A123" s="27"/>
      <c r="B123" s="27"/>
      <c r="C123" s="27"/>
      <c r="D123" s="27"/>
      <c r="E123" s="27"/>
      <c r="F123" s="27"/>
      <c r="G123" s="27"/>
      <c r="H123" s="27"/>
      <c r="I123" s="27"/>
      <c r="J123" s="27"/>
      <c r="K123" s="27"/>
      <c r="L123" s="27"/>
      <c r="M123" s="27"/>
      <c r="N123" s="27"/>
      <c r="O123" s="27"/>
      <c r="P123" s="27"/>
      <c r="Q123" s="27"/>
      <c r="R123" s="27"/>
      <c r="S123" s="27"/>
      <c r="T123" s="27"/>
      <c r="U123" s="27"/>
      <c r="V123" s="27"/>
    </row>
    <row r="124" spans="1:22">
      <c r="A124" s="27"/>
      <c r="B124" s="27"/>
      <c r="C124" s="27"/>
      <c r="D124" s="27"/>
      <c r="E124" s="27"/>
      <c r="F124" s="27"/>
      <c r="G124" s="27"/>
      <c r="H124" s="27"/>
      <c r="I124" s="27"/>
      <c r="J124" s="27"/>
      <c r="K124" s="27"/>
      <c r="L124" s="27"/>
      <c r="M124" s="27"/>
      <c r="N124" s="27"/>
      <c r="O124" s="27"/>
      <c r="P124" s="27"/>
      <c r="Q124" s="27"/>
      <c r="R124" s="27"/>
      <c r="S124" s="27"/>
      <c r="T124" s="27"/>
      <c r="U124" s="27"/>
      <c r="V124" s="27"/>
    </row>
    <row r="125" spans="1:22">
      <c r="A125" s="27"/>
      <c r="B125" s="27"/>
      <c r="C125" s="27"/>
      <c r="D125" s="27"/>
      <c r="E125" s="27"/>
      <c r="F125" s="27"/>
      <c r="G125" s="27"/>
      <c r="H125" s="27"/>
      <c r="I125" s="27"/>
      <c r="J125" s="27"/>
      <c r="K125" s="27"/>
      <c r="L125" s="27"/>
      <c r="M125" s="27"/>
      <c r="N125" s="27"/>
      <c r="O125" s="27"/>
      <c r="P125" s="27"/>
      <c r="Q125" s="27"/>
      <c r="R125" s="27"/>
      <c r="S125" s="27"/>
      <c r="T125" s="27"/>
      <c r="U125" s="27"/>
      <c r="V125" s="27"/>
    </row>
    <row r="126" spans="1:22">
      <c r="A126" s="27"/>
      <c r="B126" s="27"/>
      <c r="C126" s="27"/>
      <c r="D126" s="27"/>
      <c r="E126" s="27"/>
      <c r="F126" s="27"/>
      <c r="G126" s="27"/>
      <c r="H126" s="27"/>
      <c r="I126" s="27"/>
      <c r="J126" s="27"/>
      <c r="K126" s="27"/>
      <c r="L126" s="27"/>
      <c r="M126" s="27"/>
      <c r="N126" s="27"/>
      <c r="O126" s="27"/>
      <c r="P126" s="27"/>
      <c r="Q126" s="27"/>
      <c r="R126" s="27"/>
      <c r="S126" s="27"/>
      <c r="T126" s="27"/>
      <c r="U126" s="27"/>
      <c r="V126" s="27"/>
    </row>
    <row r="127" spans="1:22">
      <c r="A127" s="27"/>
      <c r="B127" s="27"/>
      <c r="C127" s="27"/>
      <c r="D127" s="27"/>
      <c r="E127" s="27"/>
      <c r="F127" s="27"/>
      <c r="G127" s="27"/>
      <c r="H127" s="27"/>
      <c r="I127" s="27"/>
      <c r="J127" s="27"/>
      <c r="K127" s="27"/>
      <c r="L127" s="27"/>
      <c r="M127" s="27"/>
      <c r="N127" s="27"/>
      <c r="O127" s="27"/>
      <c r="P127" s="27"/>
      <c r="Q127" s="27"/>
      <c r="R127" s="27"/>
      <c r="S127" s="27"/>
      <c r="T127" s="27"/>
      <c r="U127" s="27"/>
      <c r="V127" s="27"/>
    </row>
    <row r="128" spans="1:22">
      <c r="A128" s="27"/>
      <c r="B128" s="27"/>
      <c r="C128" s="27"/>
      <c r="D128" s="27"/>
      <c r="E128" s="27"/>
      <c r="F128" s="27"/>
      <c r="G128" s="27"/>
      <c r="H128" s="27"/>
      <c r="I128" s="27"/>
      <c r="J128" s="27"/>
      <c r="K128" s="27"/>
      <c r="L128" s="27"/>
      <c r="M128" s="27"/>
      <c r="N128" s="27"/>
      <c r="O128" s="27"/>
      <c r="P128" s="27"/>
      <c r="Q128" s="27"/>
      <c r="R128" s="27"/>
      <c r="S128" s="27"/>
      <c r="T128" s="27"/>
      <c r="U128" s="27"/>
      <c r="V128" s="27"/>
    </row>
    <row r="129" spans="1:22">
      <c r="A129" s="27"/>
      <c r="B129" s="27"/>
      <c r="C129" s="27"/>
      <c r="D129" s="27"/>
      <c r="E129" s="27"/>
      <c r="F129" s="27"/>
      <c r="G129" s="27"/>
      <c r="H129" s="27"/>
      <c r="I129" s="27"/>
      <c r="J129" s="27"/>
      <c r="K129" s="27"/>
      <c r="L129" s="27"/>
      <c r="M129" s="27"/>
      <c r="N129" s="27"/>
      <c r="O129" s="27"/>
      <c r="P129" s="27"/>
      <c r="Q129" s="27"/>
      <c r="R129" s="27"/>
      <c r="S129" s="27"/>
      <c r="T129" s="27"/>
      <c r="U129" s="27"/>
      <c r="V129" s="27"/>
    </row>
    <row r="130" spans="1:22">
      <c r="A130" s="27"/>
      <c r="B130" s="27"/>
      <c r="C130" s="27"/>
      <c r="D130" s="27"/>
      <c r="E130" s="27"/>
      <c r="F130" s="27"/>
      <c r="G130" s="27"/>
      <c r="H130" s="27"/>
      <c r="I130" s="27"/>
      <c r="J130" s="27"/>
      <c r="K130" s="27"/>
      <c r="L130" s="27"/>
      <c r="M130" s="27"/>
      <c r="N130" s="27"/>
      <c r="O130" s="27"/>
      <c r="P130" s="27"/>
      <c r="Q130" s="27"/>
      <c r="R130" s="27"/>
      <c r="S130" s="27"/>
      <c r="T130" s="27"/>
      <c r="U130" s="27"/>
      <c r="V130" s="27"/>
    </row>
    <row r="131" spans="1:22">
      <c r="A131" s="27"/>
      <c r="B131" s="27"/>
      <c r="C131" s="27"/>
      <c r="D131" s="27"/>
      <c r="E131" s="27"/>
      <c r="F131" s="27"/>
      <c r="G131" s="27"/>
      <c r="H131" s="27"/>
      <c r="I131" s="27"/>
      <c r="J131" s="27"/>
      <c r="K131" s="27"/>
      <c r="L131" s="27"/>
      <c r="M131" s="27"/>
      <c r="N131" s="27"/>
      <c r="O131" s="27"/>
      <c r="P131" s="27"/>
      <c r="Q131" s="27"/>
      <c r="R131" s="27"/>
      <c r="S131" s="27"/>
      <c r="T131" s="27"/>
      <c r="U131" s="27"/>
      <c r="V131" s="27"/>
    </row>
    <row r="132" spans="1:22">
      <c r="A132" s="27"/>
      <c r="B132" s="27"/>
      <c r="C132" s="27"/>
      <c r="D132" s="27"/>
      <c r="E132" s="27"/>
      <c r="F132" s="27"/>
      <c r="G132" s="27"/>
      <c r="H132" s="27"/>
      <c r="I132" s="27"/>
      <c r="J132" s="27"/>
      <c r="K132" s="27"/>
      <c r="L132" s="27"/>
      <c r="M132" s="27"/>
      <c r="N132" s="27"/>
      <c r="O132" s="27"/>
      <c r="P132" s="27"/>
      <c r="Q132" s="27"/>
      <c r="R132" s="27"/>
      <c r="S132" s="27"/>
      <c r="T132" s="27"/>
      <c r="U132" s="27"/>
      <c r="V132" s="27"/>
    </row>
    <row r="133" spans="1:22">
      <c r="A133" s="27"/>
      <c r="B133" s="27"/>
      <c r="C133" s="27"/>
      <c r="D133" s="27"/>
      <c r="E133" s="27"/>
      <c r="F133" s="27"/>
      <c r="G133" s="27"/>
      <c r="H133" s="27"/>
      <c r="I133" s="27"/>
      <c r="J133" s="27"/>
      <c r="K133" s="27"/>
      <c r="L133" s="27"/>
      <c r="M133" s="27"/>
      <c r="N133" s="27"/>
      <c r="O133" s="27"/>
      <c r="P133" s="27"/>
      <c r="Q133" s="27"/>
      <c r="R133" s="27"/>
      <c r="S133" s="27"/>
      <c r="T133" s="27"/>
      <c r="U133" s="27"/>
      <c r="V133" s="27"/>
    </row>
    <row r="134" spans="1:22">
      <c r="A134" s="27"/>
      <c r="B134" s="27"/>
      <c r="C134" s="27"/>
      <c r="D134" s="27"/>
      <c r="E134" s="27"/>
      <c r="F134" s="27"/>
      <c r="G134" s="27"/>
      <c r="H134" s="27"/>
      <c r="I134" s="27"/>
      <c r="J134" s="27"/>
      <c r="K134" s="27"/>
      <c r="L134" s="27"/>
      <c r="M134" s="27"/>
      <c r="N134" s="27"/>
      <c r="O134" s="27"/>
      <c r="P134" s="27"/>
      <c r="Q134" s="27"/>
      <c r="R134" s="27"/>
      <c r="S134" s="27"/>
      <c r="T134" s="27"/>
      <c r="U134" s="27"/>
      <c r="V134" s="27"/>
    </row>
    <row r="135" spans="1:22">
      <c r="A135" s="27"/>
      <c r="B135" s="27"/>
      <c r="C135" s="27"/>
      <c r="D135" s="27"/>
      <c r="E135" s="27"/>
      <c r="F135" s="27"/>
      <c r="G135" s="27"/>
      <c r="H135" s="27"/>
      <c r="I135" s="27"/>
      <c r="J135" s="27"/>
      <c r="K135" s="27"/>
      <c r="L135" s="27"/>
      <c r="M135" s="27"/>
      <c r="N135" s="27"/>
      <c r="O135" s="27"/>
      <c r="P135" s="27"/>
      <c r="Q135" s="27"/>
      <c r="R135" s="27"/>
      <c r="S135" s="27"/>
      <c r="T135" s="27"/>
      <c r="U135" s="27"/>
      <c r="V135" s="27"/>
    </row>
    <row r="136" spans="1:22">
      <c r="A136" s="27"/>
      <c r="B136" s="27"/>
      <c r="C136" s="27"/>
      <c r="D136" s="27"/>
      <c r="E136" s="27"/>
      <c r="F136" s="27"/>
      <c r="G136" s="27"/>
      <c r="H136" s="27"/>
      <c r="I136" s="27"/>
      <c r="J136" s="27"/>
      <c r="K136" s="27"/>
      <c r="L136" s="27"/>
      <c r="M136" s="27"/>
      <c r="N136" s="27"/>
      <c r="O136" s="27"/>
      <c r="P136" s="27"/>
      <c r="Q136" s="27"/>
      <c r="R136" s="27"/>
      <c r="S136" s="27"/>
      <c r="T136" s="27"/>
      <c r="U136" s="27"/>
      <c r="V136" s="27"/>
    </row>
    <row r="137" spans="1:22">
      <c r="A137" s="27"/>
      <c r="B137" s="27"/>
      <c r="C137" s="27"/>
      <c r="D137" s="27"/>
      <c r="E137" s="27"/>
      <c r="F137" s="27"/>
      <c r="G137" s="27"/>
      <c r="H137" s="27"/>
      <c r="I137" s="27"/>
      <c r="J137" s="27"/>
      <c r="K137" s="27"/>
      <c r="L137" s="27"/>
      <c r="M137" s="27"/>
      <c r="N137" s="27"/>
      <c r="O137" s="27"/>
      <c r="P137" s="27"/>
      <c r="Q137" s="27"/>
      <c r="R137" s="27"/>
      <c r="S137" s="27"/>
      <c r="T137" s="27"/>
      <c r="U137" s="27"/>
      <c r="V137" s="27"/>
    </row>
    <row r="138" spans="1:22" ht="12.75" customHeight="1">
      <c r="A138" s="27"/>
      <c r="B138" s="27"/>
      <c r="C138" s="27"/>
      <c r="D138" s="27"/>
      <c r="E138" s="27"/>
      <c r="F138" s="27"/>
      <c r="G138" s="27"/>
      <c r="H138" s="27"/>
      <c r="I138" s="27"/>
      <c r="J138" s="27"/>
      <c r="K138" s="27"/>
      <c r="L138" s="27"/>
      <c r="M138" s="27"/>
      <c r="N138" s="27"/>
      <c r="O138" s="27"/>
      <c r="P138" s="27"/>
      <c r="Q138" s="27"/>
      <c r="R138" s="27"/>
      <c r="S138" s="27"/>
      <c r="T138" s="27"/>
      <c r="U138" s="27"/>
      <c r="V138" s="27"/>
    </row>
    <row r="139" spans="1:22" ht="12.75" customHeight="1">
      <c r="A139" s="27"/>
      <c r="B139" s="27"/>
      <c r="C139" s="27"/>
      <c r="D139" s="27"/>
      <c r="E139" s="27"/>
      <c r="F139" s="27"/>
      <c r="G139" s="27"/>
      <c r="H139" s="27"/>
      <c r="I139" s="27"/>
      <c r="J139" s="27"/>
      <c r="K139" s="27"/>
      <c r="L139" s="27"/>
      <c r="M139" s="27"/>
      <c r="N139" s="27"/>
      <c r="O139" s="27"/>
      <c r="P139" s="27"/>
      <c r="Q139" s="27"/>
      <c r="R139" s="27"/>
      <c r="S139" s="27"/>
      <c r="T139" s="27"/>
      <c r="U139" s="27"/>
      <c r="V139" s="27"/>
    </row>
    <row r="140" spans="1:22" ht="12.75" customHeight="1">
      <c r="A140" s="27"/>
      <c r="B140" s="27"/>
      <c r="C140" s="27"/>
      <c r="D140" s="27"/>
      <c r="E140" s="27"/>
      <c r="F140" s="27"/>
      <c r="G140" s="27"/>
      <c r="H140" s="27"/>
      <c r="I140" s="27"/>
      <c r="J140" s="27"/>
      <c r="K140" s="27"/>
      <c r="L140" s="27"/>
      <c r="M140" s="27"/>
      <c r="N140" s="27"/>
      <c r="O140" s="27"/>
      <c r="P140" s="27"/>
      <c r="Q140" s="27"/>
      <c r="R140" s="27"/>
      <c r="S140" s="27"/>
      <c r="T140" s="27"/>
      <c r="U140" s="27"/>
      <c r="V140" s="27"/>
    </row>
    <row r="141" spans="1:22">
      <c r="A141" s="27"/>
      <c r="B141" s="27"/>
      <c r="C141" s="27"/>
      <c r="D141" s="27"/>
      <c r="E141" s="27"/>
      <c r="F141" s="27"/>
      <c r="G141" s="27"/>
      <c r="H141" s="27"/>
      <c r="I141" s="27"/>
      <c r="J141" s="27"/>
      <c r="K141" s="27"/>
      <c r="L141" s="27"/>
      <c r="M141" s="27"/>
      <c r="N141" s="27"/>
      <c r="O141" s="27"/>
      <c r="P141" s="27"/>
      <c r="Q141" s="27"/>
      <c r="R141" s="27"/>
      <c r="S141" s="27"/>
      <c r="T141" s="27"/>
      <c r="U141" s="27"/>
      <c r="V141" s="27"/>
    </row>
    <row r="142" spans="1:22">
      <c r="A142" s="27"/>
      <c r="B142" s="27"/>
      <c r="C142" s="27"/>
      <c r="D142" s="27"/>
      <c r="E142" s="27"/>
      <c r="F142" s="27"/>
      <c r="G142" s="27"/>
      <c r="H142" s="27"/>
      <c r="I142" s="27"/>
      <c r="J142" s="27"/>
      <c r="K142" s="27"/>
      <c r="L142" s="27"/>
      <c r="M142" s="27"/>
      <c r="N142" s="27"/>
      <c r="O142" s="27"/>
      <c r="P142" s="27"/>
      <c r="Q142" s="27"/>
      <c r="R142" s="27"/>
      <c r="S142" s="27"/>
      <c r="T142" s="27"/>
      <c r="U142" s="27"/>
      <c r="V142" s="27"/>
    </row>
    <row r="143" spans="1:22">
      <c r="A143" s="27"/>
      <c r="B143" s="27"/>
      <c r="C143" s="27"/>
      <c r="D143" s="27"/>
      <c r="E143" s="27"/>
      <c r="F143" s="27"/>
      <c r="G143" s="27"/>
      <c r="H143" s="27"/>
      <c r="I143" s="27"/>
      <c r="J143" s="27"/>
      <c r="K143" s="27"/>
      <c r="L143" s="27"/>
      <c r="M143" s="27"/>
      <c r="N143" s="27"/>
      <c r="O143" s="27"/>
      <c r="P143" s="27"/>
      <c r="Q143" s="27"/>
      <c r="R143" s="27"/>
      <c r="S143" s="27"/>
      <c r="T143" s="27"/>
      <c r="U143" s="27"/>
      <c r="V143" s="27"/>
    </row>
    <row r="144" spans="1:22">
      <c r="A144" s="27"/>
      <c r="B144" s="27"/>
      <c r="C144" s="27"/>
      <c r="D144" s="27"/>
      <c r="E144" s="27"/>
      <c r="F144" s="27"/>
      <c r="G144" s="27"/>
      <c r="H144" s="27"/>
      <c r="I144" s="27"/>
      <c r="J144" s="27"/>
      <c r="K144" s="27"/>
      <c r="L144" s="27"/>
      <c r="M144" s="27"/>
      <c r="N144" s="27"/>
      <c r="O144" s="27"/>
      <c r="P144" s="27"/>
      <c r="Q144" s="27"/>
      <c r="R144" s="27"/>
      <c r="S144" s="27"/>
      <c r="T144" s="27"/>
      <c r="U144" s="27"/>
      <c r="V144" s="27"/>
    </row>
    <row r="145" spans="1:22">
      <c r="A145" s="27"/>
      <c r="B145" s="27"/>
      <c r="C145" s="27"/>
      <c r="D145" s="27"/>
      <c r="E145" s="27"/>
      <c r="F145" s="27"/>
      <c r="G145" s="27"/>
      <c r="H145" s="27"/>
      <c r="I145" s="27"/>
      <c r="J145" s="27"/>
      <c r="K145" s="27"/>
      <c r="L145" s="27"/>
      <c r="M145" s="27"/>
      <c r="N145" s="27"/>
      <c r="O145" s="27"/>
      <c r="P145" s="27"/>
      <c r="Q145" s="27"/>
      <c r="R145" s="27"/>
      <c r="S145" s="27"/>
      <c r="T145" s="27"/>
      <c r="U145" s="27"/>
      <c r="V145" s="27"/>
    </row>
    <row r="146" spans="1:22">
      <c r="A146" s="27"/>
      <c r="B146" s="27"/>
      <c r="C146" s="27"/>
      <c r="D146" s="27"/>
      <c r="E146" s="27"/>
      <c r="F146" s="27"/>
      <c r="G146" s="27"/>
      <c r="H146" s="27"/>
      <c r="I146" s="27"/>
      <c r="J146" s="27"/>
      <c r="K146" s="27"/>
      <c r="L146" s="27"/>
      <c r="M146" s="27"/>
      <c r="N146" s="27"/>
      <c r="O146" s="27"/>
      <c r="P146" s="27"/>
      <c r="Q146" s="27"/>
      <c r="R146" s="27"/>
      <c r="S146" s="27"/>
      <c r="T146" s="27"/>
      <c r="U146" s="27"/>
      <c r="V146" s="27"/>
    </row>
    <row r="147" spans="1:22">
      <c r="A147" s="27"/>
      <c r="B147" s="27"/>
      <c r="C147" s="27"/>
      <c r="D147" s="27"/>
      <c r="E147" s="27"/>
      <c r="F147" s="27"/>
      <c r="G147" s="27"/>
      <c r="H147" s="27"/>
      <c r="I147" s="27"/>
      <c r="J147" s="27"/>
      <c r="K147" s="27"/>
      <c r="L147" s="27"/>
      <c r="M147" s="27"/>
      <c r="N147" s="27"/>
      <c r="O147" s="27"/>
      <c r="P147" s="27"/>
      <c r="Q147" s="27"/>
      <c r="R147" s="27"/>
      <c r="S147" s="27"/>
      <c r="T147" s="27"/>
      <c r="U147" s="27"/>
      <c r="V147" s="27"/>
    </row>
    <row r="148" spans="1:22">
      <c r="A148" s="27"/>
      <c r="B148" s="27"/>
      <c r="C148" s="27"/>
      <c r="D148" s="27"/>
      <c r="E148" s="27"/>
      <c r="F148" s="27"/>
      <c r="G148" s="27"/>
      <c r="H148" s="27"/>
      <c r="I148" s="27"/>
      <c r="J148" s="27"/>
      <c r="K148" s="27"/>
      <c r="L148" s="27"/>
      <c r="M148" s="27"/>
      <c r="N148" s="27"/>
      <c r="O148" s="27"/>
      <c r="P148" s="27"/>
      <c r="Q148" s="27"/>
      <c r="R148" s="27"/>
      <c r="S148" s="27"/>
      <c r="T148" s="27"/>
      <c r="U148" s="27"/>
      <c r="V148" s="27"/>
    </row>
    <row r="149" spans="1:22">
      <c r="A149" s="27"/>
      <c r="B149" s="27"/>
      <c r="C149" s="27"/>
      <c r="D149" s="27"/>
      <c r="E149" s="27"/>
      <c r="F149" s="27"/>
      <c r="G149" s="27"/>
      <c r="H149" s="27"/>
      <c r="I149" s="27"/>
      <c r="J149" s="27"/>
      <c r="K149" s="27"/>
      <c r="L149" s="27"/>
      <c r="M149" s="27"/>
      <c r="N149" s="27"/>
      <c r="O149" s="27"/>
      <c r="P149" s="27"/>
      <c r="Q149" s="27"/>
      <c r="R149" s="27"/>
      <c r="S149" s="27"/>
      <c r="T149" s="27"/>
      <c r="U149" s="27"/>
      <c r="V149" s="27"/>
    </row>
    <row r="150" spans="1:22">
      <c r="A150" s="27"/>
      <c r="B150" s="27"/>
      <c r="C150" s="27"/>
      <c r="D150" s="27"/>
      <c r="E150" s="27"/>
      <c r="F150" s="27"/>
      <c r="G150" s="27"/>
      <c r="H150" s="27"/>
      <c r="I150" s="27"/>
      <c r="J150" s="27"/>
      <c r="K150" s="27"/>
      <c r="L150" s="27"/>
      <c r="M150" s="27"/>
      <c r="N150" s="27"/>
      <c r="O150" s="27"/>
      <c r="P150" s="27"/>
      <c r="Q150" s="27"/>
      <c r="R150" s="27"/>
      <c r="S150" s="27"/>
      <c r="T150" s="27"/>
      <c r="U150" s="27"/>
      <c r="V150" s="27"/>
    </row>
    <row r="151" spans="1:22">
      <c r="A151" s="27"/>
      <c r="B151" s="27"/>
      <c r="C151" s="27"/>
      <c r="D151" s="27"/>
      <c r="E151" s="27"/>
      <c r="F151" s="27"/>
      <c r="G151" s="27"/>
      <c r="H151" s="27"/>
      <c r="I151" s="27"/>
      <c r="J151" s="27"/>
      <c r="K151" s="27"/>
      <c r="L151" s="27"/>
      <c r="M151" s="27"/>
      <c r="N151" s="27"/>
      <c r="O151" s="27"/>
      <c r="P151" s="27"/>
      <c r="Q151" s="27"/>
      <c r="R151" s="27"/>
      <c r="S151" s="27"/>
      <c r="T151" s="27"/>
      <c r="U151" s="27"/>
      <c r="V151" s="27"/>
    </row>
  </sheetData>
  <mergeCells count="8">
    <mergeCell ref="B36:J37"/>
    <mergeCell ref="A3:K3"/>
    <mergeCell ref="A4:K4"/>
    <mergeCell ref="A5:K5"/>
    <mergeCell ref="A6:K6"/>
    <mergeCell ref="B29:G30"/>
    <mergeCell ref="A8:K8"/>
    <mergeCell ref="B11:H11"/>
  </mergeCells>
  <phoneticPr fontId="0" type="noConversion"/>
  <pageMargins left="0.26" right="0.63" top="1" bottom="1" header="0.75" footer="0.5"/>
  <pageSetup scale="81" orientation="landscape" r:id="rId1"/>
  <headerFooter alignWithMargins="0">
    <oddHeader>&amp;R&amp;"Arial,Bold"Formula Rate 
&amp;A
Page &amp;P of &amp;N</oddHeader>
  </headerFooter>
  <rowBreaks count="1" manualBreakCount="1">
    <brk id="102" max="17" man="1"/>
  </rowBreak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pageSetUpPr autoPageBreaks="0" fitToPage="1"/>
  </sheetPr>
  <dimension ref="A1:S74"/>
  <sheetViews>
    <sheetView tabSelected="1" topLeftCell="A28" zoomScale="85" zoomScaleNormal="85" zoomScaleSheetLayoutView="85" workbookViewId="0">
      <selection activeCell="F7" sqref="F7"/>
    </sheetView>
  </sheetViews>
  <sheetFormatPr defaultColWidth="9.140625" defaultRowHeight="15"/>
  <cols>
    <col min="1" max="1" width="10.42578125" style="45" customWidth="1"/>
    <col min="2" max="2" width="15.140625" style="17" customWidth="1"/>
    <col min="3" max="3" width="59.140625" style="6" customWidth="1"/>
    <col min="4" max="4" width="15.5703125" style="6" customWidth="1"/>
    <col min="5" max="5" width="22" style="6" customWidth="1"/>
    <col min="6" max="6" width="17.42578125" style="6" customWidth="1"/>
    <col min="7" max="7" width="47.5703125" style="6" customWidth="1"/>
    <col min="8" max="8" width="13.85546875" style="6" customWidth="1"/>
    <col min="9" max="9" width="9.140625" style="6"/>
    <col min="10" max="10" width="12.42578125" style="6" bestFit="1" customWidth="1"/>
    <col min="11" max="11" width="13.42578125" style="6" customWidth="1"/>
    <col min="12" max="16384" width="9.140625" style="6"/>
  </cols>
  <sheetData>
    <row r="1" spans="1:11" ht="15.75">
      <c r="A1" s="665" t="s">
        <v>114</v>
      </c>
    </row>
    <row r="2" spans="1:11" ht="15.75">
      <c r="A2" s="665" t="s">
        <v>114</v>
      </c>
    </row>
    <row r="3" spans="1:11">
      <c r="A3" s="1257" t="s">
        <v>387</v>
      </c>
      <c r="B3" s="1257"/>
      <c r="C3" s="1257"/>
      <c r="D3" s="1257"/>
      <c r="E3" s="1257"/>
      <c r="F3" s="1257"/>
      <c r="G3" s="1257"/>
      <c r="H3" s="28"/>
    </row>
    <row r="4" spans="1:11" ht="17.25" customHeight="1">
      <c r="A4" s="1258" t="str">
        <f>"Cost of Service Formula Rate Using Actual/Projected FF1 Balances"</f>
        <v>Cost of Service Formula Rate Using Actual/Projected FF1 Balances</v>
      </c>
      <c r="B4" s="1258"/>
      <c r="C4" s="1258"/>
      <c r="D4" s="1258"/>
      <c r="E4" s="1258"/>
      <c r="F4" s="1258"/>
      <c r="G4" s="1258"/>
      <c r="H4" s="73"/>
      <c r="I4" s="73"/>
      <c r="J4" s="73"/>
      <c r="K4" s="73"/>
    </row>
    <row r="5" spans="1:11" ht="18" customHeight="1">
      <c r="A5" s="1258" t="s">
        <v>488</v>
      </c>
      <c r="B5" s="1258"/>
      <c r="C5" s="1258"/>
      <c r="D5" s="1258"/>
      <c r="E5" s="1258"/>
      <c r="F5" s="1258"/>
      <c r="G5" s="1258"/>
    </row>
    <row r="6" spans="1:11" ht="19.5" customHeight="1">
      <c r="A6" s="1263" t="str">
        <f>TCOS!F9</f>
        <v>Appalachian Power Company</v>
      </c>
      <c r="B6" s="1263"/>
      <c r="C6" s="1263"/>
      <c r="D6" s="1263"/>
      <c r="E6" s="1263"/>
      <c r="F6" s="1263"/>
      <c r="G6" s="1263"/>
    </row>
    <row r="7" spans="1:11" ht="12.75" customHeight="1">
      <c r="A7" s="1257"/>
      <c r="B7" s="1257"/>
      <c r="C7" s="1257"/>
      <c r="D7" s="1257"/>
      <c r="E7" s="1257"/>
      <c r="F7" s="1257"/>
      <c r="G7" s="35"/>
    </row>
    <row r="8" spans="1:11" ht="18">
      <c r="A8" s="1286"/>
      <c r="B8" s="1286"/>
      <c r="C8" s="1286"/>
      <c r="D8" s="1286"/>
      <c r="E8" s="1286"/>
      <c r="F8" s="1286"/>
      <c r="G8" s="1286"/>
    </row>
    <row r="9" spans="1:11" ht="18">
      <c r="A9" s="125"/>
      <c r="B9" s="125"/>
      <c r="C9" s="125"/>
      <c r="D9" s="125"/>
      <c r="E9" s="125"/>
      <c r="F9" s="125"/>
      <c r="G9" s="125"/>
    </row>
    <row r="10" spans="1:11" ht="15.75">
      <c r="B10" s="25" t="s">
        <v>162</v>
      </c>
      <c r="C10" s="25" t="s">
        <v>163</v>
      </c>
      <c r="D10" s="25" t="s">
        <v>164</v>
      </c>
      <c r="E10" s="25" t="s">
        <v>165</v>
      </c>
      <c r="F10" s="25" t="s">
        <v>84</v>
      </c>
      <c r="G10" s="25" t="s">
        <v>85</v>
      </c>
    </row>
    <row r="11" spans="1:11" ht="15.75">
      <c r="B11" s="37"/>
      <c r="C11" s="35"/>
      <c r="D11" s="158"/>
      <c r="E11" s="159"/>
      <c r="F11" s="160" t="s">
        <v>87</v>
      </c>
      <c r="G11" s="25"/>
    </row>
    <row r="12" spans="1:11" ht="15.75">
      <c r="A12" s="40" t="s">
        <v>169</v>
      </c>
      <c r="B12" s="37"/>
      <c r="C12" s="46"/>
      <c r="D12" s="40">
        <f>+TCOS!L4</f>
        <v>2025</v>
      </c>
      <c r="E12" s="160" t="s">
        <v>87</v>
      </c>
      <c r="F12" s="40" t="s">
        <v>115</v>
      </c>
      <c r="G12" s="25"/>
    </row>
    <row r="13" spans="1:11" ht="15.75">
      <c r="A13" s="40" t="s">
        <v>106</v>
      </c>
      <c r="B13" s="40" t="s">
        <v>36</v>
      </c>
      <c r="C13" s="40" t="s">
        <v>167</v>
      </c>
      <c r="D13" s="40" t="s">
        <v>37</v>
      </c>
      <c r="E13" s="40" t="s">
        <v>89</v>
      </c>
      <c r="F13" s="40" t="s">
        <v>38</v>
      </c>
      <c r="G13" s="40" t="s">
        <v>39</v>
      </c>
    </row>
    <row r="14" spans="1:11" ht="15.75">
      <c r="B14" s="40"/>
      <c r="C14" s="40"/>
      <c r="D14" s="40"/>
      <c r="E14" s="40"/>
      <c r="F14" s="40"/>
      <c r="G14" s="40"/>
    </row>
    <row r="15" spans="1:11" ht="15.75">
      <c r="B15" s="40"/>
      <c r="C15" s="40"/>
      <c r="D15" s="40"/>
      <c r="E15" s="40"/>
      <c r="F15" s="40"/>
      <c r="G15" s="40"/>
    </row>
    <row r="16" spans="1:11" ht="15.75">
      <c r="B16" s="40"/>
      <c r="D16" s="40"/>
      <c r="E16" s="40"/>
      <c r="F16" s="40"/>
      <c r="G16" s="40"/>
    </row>
    <row r="17" spans="1:7" ht="15.75">
      <c r="B17" s="40"/>
      <c r="C17" s="40" t="s">
        <v>496</v>
      </c>
      <c r="D17" s="33"/>
      <c r="E17" s="33"/>
      <c r="F17" s="33"/>
      <c r="G17" s="69"/>
    </row>
    <row r="18" spans="1:7">
      <c r="A18" s="45">
        <v>1</v>
      </c>
      <c r="B18" s="927">
        <v>5660007</v>
      </c>
      <c r="C18" s="633" t="s">
        <v>894</v>
      </c>
      <c r="D18" s="928">
        <v>-7581379.46</v>
      </c>
      <c r="E18" s="51"/>
      <c r="F18" s="51"/>
      <c r="G18" s="661"/>
    </row>
    <row r="19" spans="1:7">
      <c r="A19" s="45">
        <v>2</v>
      </c>
      <c r="B19" s="927"/>
      <c r="C19" s="633"/>
      <c r="D19" s="928"/>
      <c r="E19" s="51"/>
      <c r="F19" s="51"/>
      <c r="G19" s="32"/>
    </row>
    <row r="20" spans="1:7">
      <c r="A20" s="45">
        <v>3</v>
      </c>
      <c r="B20" s="632"/>
      <c r="C20" s="633"/>
      <c r="D20" s="634"/>
      <c r="E20" s="51"/>
      <c r="F20" s="51"/>
      <c r="G20" s="32"/>
    </row>
    <row r="21" spans="1:7" ht="15.75">
      <c r="A21" s="45">
        <v>4</v>
      </c>
      <c r="B21" s="40"/>
      <c r="C21" s="184" t="s">
        <v>118</v>
      </c>
      <c r="D21" s="233">
        <f>SUM(D18:D19)</f>
        <v>-7581379.46</v>
      </c>
      <c r="E21" s="51"/>
      <c r="F21" s="51"/>
      <c r="G21" s="40"/>
    </row>
    <row r="22" spans="1:7" ht="15.75">
      <c r="B22" s="40"/>
      <c r="C22" s="184"/>
      <c r="D22" s="197"/>
      <c r="E22" s="33"/>
      <c r="F22" s="33"/>
      <c r="G22" s="40"/>
    </row>
    <row r="23" spans="1:7" ht="15.75">
      <c r="A23" s="6"/>
      <c r="B23" s="40"/>
      <c r="C23" s="40" t="s">
        <v>49</v>
      </c>
      <c r="D23" s="48"/>
      <c r="E23" s="33"/>
      <c r="F23" s="33"/>
      <c r="G23" s="40"/>
    </row>
    <row r="24" spans="1:7" ht="15.75">
      <c r="A24" s="39">
        <f>+A21+1</f>
        <v>5</v>
      </c>
      <c r="B24" s="15"/>
      <c r="C24" s="193"/>
      <c r="D24" s="831"/>
      <c r="E24" s="33"/>
      <c r="F24" s="33"/>
      <c r="G24" s="40"/>
    </row>
    <row r="25" spans="1:7" ht="15.75">
      <c r="A25" s="230">
        <f>+A24+1</f>
        <v>6</v>
      </c>
      <c r="B25" s="15" t="s">
        <v>50</v>
      </c>
      <c r="C25" s="15" t="s">
        <v>51</v>
      </c>
      <c r="D25" s="635">
        <v>0</v>
      </c>
      <c r="E25" s="33"/>
      <c r="F25" s="33"/>
      <c r="G25" s="40"/>
    </row>
    <row r="26" spans="1:7" ht="15.75">
      <c r="A26" s="39">
        <f>+A25+1</f>
        <v>7</v>
      </c>
      <c r="B26" s="193" t="s">
        <v>52</v>
      </c>
      <c r="C26" s="193" t="s">
        <v>53</v>
      </c>
      <c r="D26" s="635">
        <v>3996389.33</v>
      </c>
      <c r="E26" s="33"/>
      <c r="F26" s="33"/>
      <c r="G26" s="40"/>
    </row>
    <row r="27" spans="1:7" ht="15.75">
      <c r="A27" s="230">
        <f t="shared" ref="A27:A32" si="0">+A26+1</f>
        <v>8</v>
      </c>
      <c r="B27" s="15" t="s">
        <v>54</v>
      </c>
      <c r="C27" s="15" t="s">
        <v>55</v>
      </c>
      <c r="D27" s="623">
        <v>-434.46000000000004</v>
      </c>
      <c r="E27" s="33"/>
      <c r="F27" s="33"/>
      <c r="G27" s="40"/>
    </row>
    <row r="28" spans="1:7" ht="15.75">
      <c r="A28" s="39">
        <f t="shared" si="0"/>
        <v>9</v>
      </c>
      <c r="B28" s="193" t="s">
        <v>56</v>
      </c>
      <c r="C28" s="193" t="s">
        <v>57</v>
      </c>
      <c r="D28" s="635">
        <v>7653360.5099999998</v>
      </c>
      <c r="E28" s="33"/>
      <c r="F28" s="33"/>
      <c r="G28" s="40"/>
    </row>
    <row r="29" spans="1:7" ht="15.75">
      <c r="A29" s="230">
        <f t="shared" si="0"/>
        <v>10</v>
      </c>
      <c r="B29" s="15" t="s">
        <v>58</v>
      </c>
      <c r="C29" s="15" t="s">
        <v>59</v>
      </c>
      <c r="D29" s="635">
        <v>615500.11</v>
      </c>
      <c r="E29" s="33"/>
      <c r="F29" s="33"/>
      <c r="G29" s="40"/>
    </row>
    <row r="30" spans="1:7" ht="15.75">
      <c r="A30" s="39">
        <f t="shared" si="0"/>
        <v>11</v>
      </c>
      <c r="B30" s="193" t="s">
        <v>60</v>
      </c>
      <c r="C30" s="193" t="s">
        <v>61</v>
      </c>
      <c r="D30" s="635">
        <v>28.96</v>
      </c>
      <c r="E30" s="33"/>
      <c r="F30" s="33"/>
      <c r="G30" s="40"/>
    </row>
    <row r="31" spans="1:7" ht="15.75">
      <c r="A31" s="230">
        <f t="shared" si="0"/>
        <v>12</v>
      </c>
      <c r="B31" s="15" t="s">
        <v>62</v>
      </c>
      <c r="C31" s="15" t="s">
        <v>63</v>
      </c>
      <c r="D31" s="635">
        <v>0</v>
      </c>
      <c r="E31" s="33"/>
      <c r="F31" s="33"/>
      <c r="G31" s="40"/>
    </row>
    <row r="32" spans="1:7" ht="15.75">
      <c r="A32" s="39">
        <f t="shared" si="0"/>
        <v>13</v>
      </c>
      <c r="B32" s="193" t="s">
        <v>64</v>
      </c>
      <c r="C32" s="193" t="s">
        <v>65</v>
      </c>
      <c r="D32" s="635">
        <v>2214852.77</v>
      </c>
      <c r="E32" s="33"/>
      <c r="F32" s="33"/>
      <c r="G32" s="40"/>
    </row>
    <row r="33" spans="1:19" ht="15.75">
      <c r="A33" s="45">
        <f>+A32+1</f>
        <v>14</v>
      </c>
      <c r="B33" s="209"/>
      <c r="C33" s="25" t="s">
        <v>66</v>
      </c>
      <c r="D33" s="210">
        <f>SUM(D24:D32)</f>
        <v>14479697.219999999</v>
      </c>
      <c r="E33" s="33"/>
      <c r="F33" s="33"/>
      <c r="G33" s="40"/>
    </row>
    <row r="34" spans="1:19" ht="15.75">
      <c r="A34" s="180"/>
      <c r="B34" s="50"/>
      <c r="C34" s="40"/>
      <c r="D34" s="40"/>
      <c r="E34" s="40"/>
      <c r="F34" s="40"/>
      <c r="G34" s="40"/>
    </row>
    <row r="35" spans="1:19" ht="15.75">
      <c r="A35" s="180"/>
      <c r="B35" s="39"/>
      <c r="C35" s="76" t="s">
        <v>212</v>
      </c>
      <c r="D35" s="35"/>
      <c r="E35" s="35"/>
      <c r="F35" s="35"/>
      <c r="G35" s="35"/>
    </row>
    <row r="36" spans="1:19">
      <c r="A36" s="45">
        <f>+A33+1</f>
        <v>15</v>
      </c>
      <c r="B36" s="927" t="s">
        <v>895</v>
      </c>
      <c r="C36" s="633" t="s">
        <v>896</v>
      </c>
      <c r="D36" s="634">
        <v>12710.94</v>
      </c>
      <c r="E36" s="33">
        <f>D36-F36</f>
        <v>8939.9700000000012</v>
      </c>
      <c r="F36" s="33">
        <v>3770.9700000000003</v>
      </c>
      <c r="G36" s="32" t="s">
        <v>114</v>
      </c>
    </row>
    <row r="37" spans="1:19">
      <c r="A37" s="45">
        <f>+A36+1</f>
        <v>16</v>
      </c>
      <c r="B37" s="632" t="s">
        <v>954</v>
      </c>
      <c r="C37" s="633" t="s">
        <v>951</v>
      </c>
      <c r="D37" s="634">
        <v>2403704.0699999998</v>
      </c>
      <c r="E37" s="33">
        <f t="shared" ref="E37:E41" si="1">D37-F37</f>
        <v>2403704.0699999998</v>
      </c>
      <c r="F37" s="33">
        <v>0</v>
      </c>
      <c r="G37" s="32" t="s">
        <v>114</v>
      </c>
    </row>
    <row r="38" spans="1:19">
      <c r="A38" s="45">
        <f>+A37+1</f>
        <v>17</v>
      </c>
      <c r="B38" s="632" t="s">
        <v>955</v>
      </c>
      <c r="C38" s="633" t="s">
        <v>952</v>
      </c>
      <c r="D38" s="634">
        <v>6663987.0600000005</v>
      </c>
      <c r="E38" s="33">
        <f t="shared" si="1"/>
        <v>5854808.9800000004</v>
      </c>
      <c r="F38" s="33">
        <v>809178.08000000007</v>
      </c>
      <c r="G38" s="32" t="s">
        <v>114</v>
      </c>
    </row>
    <row r="39" spans="1:19">
      <c r="A39" s="45">
        <f t="shared" ref="A39:A42" si="2">+A38+1</f>
        <v>18</v>
      </c>
      <c r="B39" s="1025" t="s">
        <v>1069</v>
      </c>
      <c r="C39" s="633" t="s">
        <v>981</v>
      </c>
      <c r="D39" s="634">
        <v>0</v>
      </c>
      <c r="E39" s="33">
        <f t="shared" si="1"/>
        <v>0</v>
      </c>
      <c r="F39" s="33">
        <v>0</v>
      </c>
      <c r="G39" s="32" t="s">
        <v>114</v>
      </c>
    </row>
    <row r="40" spans="1:19">
      <c r="A40" s="45">
        <f t="shared" si="2"/>
        <v>19</v>
      </c>
      <c r="B40" s="632" t="s">
        <v>956</v>
      </c>
      <c r="C40" s="633" t="s">
        <v>953</v>
      </c>
      <c r="D40" s="634">
        <v>186884.52</v>
      </c>
      <c r="E40" s="33">
        <f t="shared" si="1"/>
        <v>81088.139999999985</v>
      </c>
      <c r="F40" s="33">
        <v>105796.38</v>
      </c>
      <c r="G40" s="32"/>
    </row>
    <row r="41" spans="1:19">
      <c r="A41" s="45">
        <f t="shared" si="2"/>
        <v>20</v>
      </c>
      <c r="B41" s="632">
        <v>9280006</v>
      </c>
      <c r="C41" s="633" t="s">
        <v>1213</v>
      </c>
      <c r="D41" s="634">
        <v>5714759.4699999997</v>
      </c>
      <c r="E41" s="33">
        <f t="shared" si="1"/>
        <v>5714759.4699999997</v>
      </c>
      <c r="F41" s="33">
        <v>0</v>
      </c>
      <c r="G41" s="35"/>
    </row>
    <row r="42" spans="1:19" ht="15.75" customHeight="1">
      <c r="A42" s="45">
        <f t="shared" si="2"/>
        <v>21</v>
      </c>
      <c r="B42" s="37"/>
      <c r="C42" s="832" t="s">
        <v>624</v>
      </c>
      <c r="D42" s="47">
        <f>SUM(D36:D41)</f>
        <v>14982046.059999999</v>
      </c>
      <c r="E42" s="47">
        <f t="shared" ref="E42:F42" si="3">SUM(E36:E41)</f>
        <v>14063300.629999999</v>
      </c>
      <c r="F42" s="47">
        <f t="shared" si="3"/>
        <v>918745.43</v>
      </c>
      <c r="G42" s="19"/>
    </row>
    <row r="43" spans="1:19" ht="12.75" customHeight="1">
      <c r="B43" s="37"/>
      <c r="C43" s="38"/>
      <c r="D43" s="49"/>
      <c r="E43" s="21"/>
      <c r="F43" s="21"/>
      <c r="G43" s="35"/>
    </row>
    <row r="44" spans="1:19" ht="15.75">
      <c r="B44" s="39"/>
      <c r="C44" s="76" t="s">
        <v>211</v>
      </c>
      <c r="D44" s="21"/>
      <c r="E44" s="21"/>
      <c r="F44" s="21"/>
      <c r="G44" s="35"/>
    </row>
    <row r="45" spans="1:19">
      <c r="A45" s="45">
        <f>+A42+1</f>
        <v>22</v>
      </c>
      <c r="B45" s="927" t="s">
        <v>897</v>
      </c>
      <c r="C45" s="633" t="s">
        <v>898</v>
      </c>
      <c r="D45" s="928">
        <v>177854.76</v>
      </c>
      <c r="E45" s="33">
        <f t="shared" ref="E45:E53" si="4">D45-F45</f>
        <v>176097.31</v>
      </c>
      <c r="F45" s="33">
        <v>1757.45</v>
      </c>
      <c r="G45"/>
      <c r="M45" s="18"/>
      <c r="N45" s="18"/>
      <c r="O45" s="20"/>
      <c r="P45" s="20"/>
      <c r="Q45" s="20"/>
      <c r="R45" s="20"/>
      <c r="S45" s="20"/>
    </row>
    <row r="46" spans="1:19">
      <c r="A46" s="45">
        <f>+A45+1</f>
        <v>23</v>
      </c>
      <c r="B46" s="927" t="s">
        <v>899</v>
      </c>
      <c r="C46" s="633" t="s">
        <v>900</v>
      </c>
      <c r="D46" s="928">
        <v>0</v>
      </c>
      <c r="E46" s="33">
        <f t="shared" si="4"/>
        <v>0</v>
      </c>
      <c r="F46" s="33">
        <v>0</v>
      </c>
      <c r="G46"/>
      <c r="M46" s="18"/>
      <c r="N46" s="18"/>
      <c r="O46" s="20"/>
      <c r="P46" s="20"/>
      <c r="Q46" s="20"/>
      <c r="R46" s="20"/>
      <c r="S46" s="20"/>
    </row>
    <row r="47" spans="1:19">
      <c r="A47" s="45">
        <f t="shared" ref="A47:A59" si="5">+A46+1</f>
        <v>24</v>
      </c>
      <c r="B47" s="927" t="s">
        <v>901</v>
      </c>
      <c r="C47" s="633" t="s">
        <v>902</v>
      </c>
      <c r="D47" s="928">
        <v>0</v>
      </c>
      <c r="E47" s="33">
        <f t="shared" si="4"/>
        <v>0</v>
      </c>
      <c r="F47" s="33">
        <v>0</v>
      </c>
      <c r="G47"/>
      <c r="M47" s="18"/>
      <c r="N47" s="18"/>
      <c r="O47" s="20"/>
      <c r="P47" s="20"/>
      <c r="Q47" s="20"/>
      <c r="R47" s="20"/>
      <c r="S47" s="20"/>
    </row>
    <row r="48" spans="1:19">
      <c r="A48" s="45">
        <f t="shared" si="5"/>
        <v>25</v>
      </c>
      <c r="B48" s="927" t="s">
        <v>903</v>
      </c>
      <c r="C48" s="633" t="s">
        <v>904</v>
      </c>
      <c r="D48" s="928">
        <v>1875</v>
      </c>
      <c r="E48" s="33">
        <f t="shared" si="4"/>
        <v>1875</v>
      </c>
      <c r="F48" s="33">
        <v>0</v>
      </c>
      <c r="G48"/>
      <c r="M48" s="18"/>
      <c r="N48" s="18"/>
      <c r="O48" s="20"/>
      <c r="P48" s="20"/>
      <c r="Q48" s="20"/>
      <c r="R48" s="20"/>
      <c r="S48" s="20"/>
    </row>
    <row r="49" spans="1:19">
      <c r="A49" s="45">
        <f t="shared" si="5"/>
        <v>26</v>
      </c>
      <c r="B49" s="927" t="s">
        <v>1214</v>
      </c>
      <c r="C49" s="633" t="s">
        <v>1215</v>
      </c>
      <c r="D49" s="928">
        <v>0</v>
      </c>
      <c r="E49" s="33">
        <f t="shared" si="4"/>
        <v>0</v>
      </c>
      <c r="F49" s="33">
        <v>0</v>
      </c>
      <c r="G49"/>
      <c r="M49" s="18"/>
      <c r="N49" s="18"/>
      <c r="O49" s="20"/>
      <c r="P49" s="20"/>
      <c r="Q49" s="20"/>
      <c r="R49" s="20"/>
      <c r="S49" s="20"/>
    </row>
    <row r="50" spans="1:19">
      <c r="A50" s="45">
        <f t="shared" si="5"/>
        <v>27</v>
      </c>
      <c r="B50" s="927">
        <v>9301009</v>
      </c>
      <c r="C50" s="633" t="s">
        <v>1473</v>
      </c>
      <c r="D50" s="928">
        <v>373</v>
      </c>
      <c r="E50" s="33">
        <f t="shared" si="4"/>
        <v>16.149999999999977</v>
      </c>
      <c r="F50" s="33">
        <v>356.85</v>
      </c>
      <c r="G50"/>
      <c r="M50" s="18"/>
      <c r="N50" s="18"/>
      <c r="O50" s="20"/>
      <c r="P50" s="20"/>
      <c r="Q50" s="20"/>
      <c r="R50" s="20"/>
      <c r="S50" s="20"/>
    </row>
    <row r="51" spans="1:19">
      <c r="A51" s="45">
        <f t="shared" si="5"/>
        <v>28</v>
      </c>
      <c r="B51" s="927" t="s">
        <v>905</v>
      </c>
      <c r="C51" s="633" t="s">
        <v>906</v>
      </c>
      <c r="D51" s="928">
        <v>126334.66</v>
      </c>
      <c r="E51" s="33">
        <f t="shared" si="4"/>
        <v>126333.07</v>
      </c>
      <c r="F51" s="33">
        <v>1.59</v>
      </c>
      <c r="G51"/>
      <c r="M51" s="18"/>
      <c r="N51" s="18"/>
      <c r="O51" s="20"/>
      <c r="P51" s="20"/>
      <c r="Q51" s="20"/>
      <c r="R51" s="20"/>
      <c r="S51" s="20"/>
    </row>
    <row r="52" spans="1:19">
      <c r="A52" s="45">
        <f>A51+1</f>
        <v>29</v>
      </c>
      <c r="B52" s="927" t="s">
        <v>907</v>
      </c>
      <c r="C52" s="633" t="s">
        <v>908</v>
      </c>
      <c r="D52" s="928">
        <v>0</v>
      </c>
      <c r="E52" s="33">
        <f t="shared" si="4"/>
        <v>0</v>
      </c>
      <c r="F52" s="33">
        <v>0</v>
      </c>
      <c r="G52"/>
      <c r="M52" s="18"/>
      <c r="N52" s="18"/>
      <c r="O52" s="20"/>
      <c r="P52" s="20"/>
      <c r="Q52" s="20"/>
      <c r="R52" s="20"/>
      <c r="S52" s="20"/>
    </row>
    <row r="53" spans="1:19">
      <c r="A53" s="45">
        <f>A52+1</f>
        <v>30</v>
      </c>
      <c r="B53" s="927" t="s">
        <v>909</v>
      </c>
      <c r="C53" s="633" t="s">
        <v>910</v>
      </c>
      <c r="D53" s="928">
        <v>2475.65</v>
      </c>
      <c r="E53" s="33">
        <f t="shared" si="4"/>
        <v>2475.65</v>
      </c>
      <c r="F53" s="33">
        <v>0</v>
      </c>
      <c r="G53"/>
      <c r="M53" s="18"/>
      <c r="N53" s="18"/>
      <c r="O53" s="20"/>
      <c r="P53" s="20"/>
      <c r="Q53" s="20"/>
      <c r="R53" s="20"/>
      <c r="S53" s="20"/>
    </row>
    <row r="54" spans="1:19">
      <c r="A54" s="45">
        <f>A53+1</f>
        <v>31</v>
      </c>
      <c r="B54" s="927"/>
      <c r="C54" s="633"/>
      <c r="D54" s="928"/>
      <c r="E54" s="33"/>
      <c r="F54" s="33"/>
      <c r="G54"/>
      <c r="M54" s="18"/>
      <c r="N54" s="18"/>
      <c r="O54" s="20"/>
      <c r="P54" s="20"/>
      <c r="Q54" s="20"/>
      <c r="R54" s="20"/>
      <c r="S54" s="20"/>
    </row>
    <row r="55" spans="1:19">
      <c r="A55" s="45">
        <f>A54+1</f>
        <v>32</v>
      </c>
      <c r="B55" s="927"/>
      <c r="C55" s="633"/>
      <c r="D55" s="928"/>
      <c r="E55" s="33"/>
      <c r="F55" s="36"/>
      <c r="G55"/>
      <c r="M55" s="18"/>
      <c r="N55" s="18"/>
      <c r="O55" s="20"/>
      <c r="P55" s="20"/>
      <c r="Q55" s="20"/>
      <c r="R55" s="20"/>
      <c r="S55" s="20"/>
    </row>
    <row r="56" spans="1:19">
      <c r="A56" s="45">
        <f t="shared" si="5"/>
        <v>33</v>
      </c>
      <c r="B56" s="927"/>
      <c r="C56" s="633"/>
      <c r="D56" s="928"/>
      <c r="E56" s="33"/>
      <c r="F56" s="36"/>
      <c r="G56"/>
    </row>
    <row r="57" spans="1:19">
      <c r="A57" s="45">
        <f t="shared" si="5"/>
        <v>34</v>
      </c>
      <c r="B57" s="927"/>
      <c r="C57" s="633"/>
      <c r="D57" s="928"/>
      <c r="E57" s="33"/>
      <c r="F57" s="36"/>
      <c r="G57" s="35"/>
    </row>
    <row r="58" spans="1:19">
      <c r="A58" s="45">
        <f t="shared" si="5"/>
        <v>35</v>
      </c>
      <c r="B58" s="927"/>
      <c r="C58" s="633"/>
      <c r="D58" s="928"/>
      <c r="E58" s="33"/>
      <c r="F58" s="36"/>
      <c r="G58" s="35"/>
    </row>
    <row r="59" spans="1:19">
      <c r="A59" s="45">
        <f t="shared" si="5"/>
        <v>36</v>
      </c>
      <c r="B59" s="927"/>
      <c r="C59" s="633"/>
      <c r="D59" s="928"/>
      <c r="E59" s="33"/>
      <c r="F59" s="36"/>
      <c r="G59" s="35"/>
    </row>
    <row r="60" spans="1:19">
      <c r="B60" s="34"/>
      <c r="C60" s="35"/>
      <c r="D60" s="41"/>
      <c r="E60" s="42"/>
      <c r="F60" s="41"/>
      <c r="G60" s="35"/>
    </row>
    <row r="61" spans="1:19" ht="15.75">
      <c r="A61" s="45">
        <f>A59+1</f>
        <v>37</v>
      </c>
      <c r="B61" s="37"/>
      <c r="C61" s="832" t="s">
        <v>625</v>
      </c>
      <c r="D61" s="43">
        <f>SUM(D45:D60)</f>
        <v>308913.07000000007</v>
      </c>
      <c r="E61" s="43">
        <f>SUM(E45:E60)</f>
        <v>306797.18000000005</v>
      </c>
      <c r="F61" s="43">
        <f>SUM(F45:F59)</f>
        <v>2115.8900000000003</v>
      </c>
      <c r="G61" s="19"/>
    </row>
    <row r="62" spans="1:19" ht="12.75" customHeight="1">
      <c r="B62" s="27"/>
      <c r="C62" s="27"/>
      <c r="D62" s="27"/>
      <c r="E62" s="27"/>
      <c r="F62" s="27"/>
      <c r="G62" s="27"/>
    </row>
    <row r="63" spans="1:19" ht="15.75">
      <c r="B63" s="25"/>
      <c r="C63" s="76" t="s">
        <v>210</v>
      </c>
      <c r="D63" s="44"/>
      <c r="E63" s="44"/>
      <c r="F63" s="44"/>
      <c r="G63" s="25"/>
    </row>
    <row r="64" spans="1:19">
      <c r="A64" s="45">
        <f>+A61+1</f>
        <v>38</v>
      </c>
      <c r="B64" s="927" t="s">
        <v>911</v>
      </c>
      <c r="C64" s="633" t="s">
        <v>912</v>
      </c>
      <c r="D64" s="928">
        <v>1759024.118</v>
      </c>
      <c r="E64" s="33">
        <f>+D64</f>
        <v>1759024.118</v>
      </c>
      <c r="F64" s="36">
        <v>316179.64</v>
      </c>
      <c r="G64" s="18"/>
      <c r="H64" s="18"/>
      <c r="J64" s="20"/>
      <c r="K64" s="20"/>
    </row>
    <row r="65" spans="1:11">
      <c r="A65" s="45">
        <f>+A64+1</f>
        <v>39</v>
      </c>
      <c r="B65" s="927" t="s">
        <v>913</v>
      </c>
      <c r="C65" s="633" t="s">
        <v>914</v>
      </c>
      <c r="D65" s="928">
        <v>404555.94</v>
      </c>
      <c r="E65" s="33">
        <f>+D65</f>
        <v>404555.94</v>
      </c>
      <c r="F65" s="36">
        <v>44011.421999999999</v>
      </c>
      <c r="G65" s="18"/>
      <c r="H65" s="18"/>
      <c r="J65" s="20"/>
      <c r="K65" s="20"/>
    </row>
    <row r="66" spans="1:11">
      <c r="A66" s="45">
        <f>+A65+1</f>
        <v>40</v>
      </c>
      <c r="B66" s="927" t="s">
        <v>915</v>
      </c>
      <c r="C66" s="633" t="s">
        <v>916</v>
      </c>
      <c r="D66" s="928">
        <v>83.47</v>
      </c>
      <c r="E66" s="33">
        <f>+D66</f>
        <v>83.47</v>
      </c>
      <c r="F66" s="36">
        <v>0</v>
      </c>
      <c r="G66" s="18"/>
      <c r="H66" s="18"/>
      <c r="J66" s="20"/>
      <c r="K66" s="20"/>
    </row>
    <row r="67" spans="1:11">
      <c r="A67" s="45">
        <f t="shared" ref="A67:A69" si="6">+A66+1</f>
        <v>41</v>
      </c>
      <c r="B67" s="927" t="s">
        <v>917</v>
      </c>
      <c r="C67" s="633" t="s">
        <v>1089</v>
      </c>
      <c r="D67" s="928">
        <v>208002.68</v>
      </c>
      <c r="E67" s="33">
        <f>+D67</f>
        <v>208002.68</v>
      </c>
      <c r="F67" s="36">
        <v>0.74</v>
      </c>
      <c r="G67" s="18"/>
      <c r="H67" s="18"/>
      <c r="J67" s="20"/>
      <c r="K67" s="20"/>
    </row>
    <row r="68" spans="1:11">
      <c r="A68" s="45">
        <f t="shared" si="6"/>
        <v>42</v>
      </c>
      <c r="B68" s="927" t="s">
        <v>918</v>
      </c>
      <c r="C68" s="633" t="s">
        <v>919</v>
      </c>
      <c r="D68" s="928">
        <v>8858300.5</v>
      </c>
      <c r="E68" s="33">
        <f>D68-F68</f>
        <v>3320738.41</v>
      </c>
      <c r="F68" s="36">
        <v>5537562.0899999999</v>
      </c>
      <c r="G68" s="18"/>
      <c r="H68" s="18"/>
      <c r="J68" s="20"/>
      <c r="K68" s="20"/>
    </row>
    <row r="69" spans="1:11">
      <c r="A69" s="45">
        <f t="shared" si="6"/>
        <v>43</v>
      </c>
      <c r="B69" s="927"/>
      <c r="C69" s="633"/>
      <c r="D69" s="928"/>
      <c r="E69" s="33"/>
      <c r="F69" s="36"/>
      <c r="G69" s="27"/>
    </row>
    <row r="70" spans="1:11">
      <c r="B70" s="234"/>
      <c r="C70" s="236"/>
      <c r="D70" s="236"/>
      <c r="E70" s="27"/>
      <c r="F70" s="27"/>
      <c r="G70" s="27"/>
    </row>
    <row r="71" spans="1:11" ht="15.75">
      <c r="A71" s="45">
        <f>+A69+1</f>
        <v>44</v>
      </c>
      <c r="B71" s="27"/>
      <c r="C71" s="832" t="s">
        <v>626</v>
      </c>
      <c r="D71" s="235">
        <f>SUM(D64:D69)</f>
        <v>11229966.708000001</v>
      </c>
      <c r="E71" s="235">
        <f>SUM(E64:E69)</f>
        <v>5692404.6180000007</v>
      </c>
      <c r="F71" s="235">
        <f>SUM(F64:F69)</f>
        <v>5897753.892</v>
      </c>
      <c r="G71" s="19"/>
    </row>
    <row r="72" spans="1:11">
      <c r="B72" s="68"/>
      <c r="C72"/>
      <c r="D72" s="232"/>
      <c r="E72"/>
      <c r="F72"/>
      <c r="G72"/>
    </row>
    <row r="73" spans="1:11" ht="12.75">
      <c r="A73"/>
      <c r="B73"/>
      <c r="C73"/>
      <c r="D73"/>
      <c r="E73"/>
      <c r="F73"/>
    </row>
    <row r="74" spans="1:11" ht="12.75">
      <c r="A74"/>
      <c r="B74"/>
      <c r="C74"/>
      <c r="D74"/>
      <c r="E74"/>
      <c r="F74"/>
    </row>
  </sheetData>
  <mergeCells count="6">
    <mergeCell ref="A3:G3"/>
    <mergeCell ref="A8:G8"/>
    <mergeCell ref="A7:F7"/>
    <mergeCell ref="A4:G4"/>
    <mergeCell ref="A5:G5"/>
    <mergeCell ref="A6:G6"/>
  </mergeCells>
  <phoneticPr fontId="0" type="noConversion"/>
  <pageMargins left="0.44" right="0.52" top="1" bottom="0.67" header="0.75" footer="0.4"/>
  <pageSetup orientation="portrait" r:id="rId1"/>
  <headerFooter alignWithMargins="0">
    <oddHeader>&amp;R&amp;"Arial,Bold"Formula Rate 
&amp;A
Page &amp;P of &amp;N</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pageSetUpPr fitToPage="1"/>
  </sheetPr>
  <dimension ref="A1:O256"/>
  <sheetViews>
    <sheetView tabSelected="1" view="pageBreakPreview" topLeftCell="A3" zoomScaleNormal="100" zoomScaleSheetLayoutView="100" workbookViewId="0">
      <selection activeCell="F7" sqref="F7"/>
    </sheetView>
  </sheetViews>
  <sheetFormatPr defaultRowHeight="12.75"/>
  <cols>
    <col min="2" max="2" width="32.5703125" customWidth="1"/>
    <col min="5" max="5" width="15" customWidth="1"/>
    <col min="6" max="6" width="12.85546875" bestFit="1" customWidth="1"/>
    <col min="7" max="7" width="10.85546875" customWidth="1"/>
    <col min="8" max="8" width="2.85546875" customWidth="1"/>
    <col min="9" max="9" width="16.5703125" bestFit="1" customWidth="1"/>
    <col min="10" max="10" width="2.140625" customWidth="1"/>
    <col min="11" max="11" width="14.5703125" bestFit="1" customWidth="1"/>
    <col min="12" max="12" width="4.85546875" customWidth="1"/>
    <col min="13" max="13" width="16" bestFit="1" customWidth="1"/>
    <col min="14" max="14" width="2.140625" customWidth="1"/>
    <col min="15" max="15" width="14.42578125" bestFit="1" customWidth="1"/>
  </cols>
  <sheetData>
    <row r="1" spans="1:15" ht="15.75">
      <c r="A1" s="665" t="s">
        <v>114</v>
      </c>
    </row>
    <row r="2" spans="1:15" ht="15.75">
      <c r="A2" s="665" t="s">
        <v>114</v>
      </c>
    </row>
    <row r="3" spans="1:15" ht="15">
      <c r="A3" s="1257" t="s">
        <v>387</v>
      </c>
      <c r="B3" s="1257"/>
      <c r="C3" s="1257"/>
      <c r="D3" s="1257"/>
      <c r="E3" s="1257"/>
      <c r="F3" s="1257"/>
      <c r="G3" s="1257"/>
      <c r="H3" s="1257"/>
    </row>
    <row r="4" spans="1:15" ht="15">
      <c r="A4" s="1258" t="str">
        <f>"Cost of Service Formula Rate Using Actual/Projected FF1 Balances"</f>
        <v>Cost of Service Formula Rate Using Actual/Projected FF1 Balances</v>
      </c>
      <c r="B4" s="1258"/>
      <c r="C4" s="1258"/>
      <c r="D4" s="1258"/>
      <c r="E4" s="1258"/>
      <c r="F4" s="1258"/>
      <c r="G4" s="1258"/>
      <c r="H4" s="1258"/>
    </row>
    <row r="5" spans="1:15" ht="15">
      <c r="A5" s="1258" t="s">
        <v>527</v>
      </c>
      <c r="B5" s="1258"/>
      <c r="C5" s="1258"/>
      <c r="D5" s="1258"/>
      <c r="E5" s="1258"/>
      <c r="F5" s="1258"/>
      <c r="G5" s="1258"/>
      <c r="H5" s="1258"/>
    </row>
    <row r="6" spans="1:15" ht="15">
      <c r="A6" s="1263" t="str">
        <f>TCOS!F9</f>
        <v>Appalachian Power Company</v>
      </c>
      <c r="B6" s="1263"/>
      <c r="C6" s="1263"/>
      <c r="D6" s="1263"/>
      <c r="E6" s="1263"/>
      <c r="F6" s="1263"/>
      <c r="G6" s="1263"/>
    </row>
    <row r="7" spans="1:15" ht="12.75" customHeight="1">
      <c r="A7" s="13"/>
      <c r="B7" s="14"/>
      <c r="C7" s="14"/>
      <c r="D7" s="14"/>
      <c r="E7" s="14"/>
      <c r="F7" s="14"/>
      <c r="G7" s="14"/>
      <c r="H7" s="14"/>
      <c r="I7" s="14"/>
      <c r="J7" s="14"/>
      <c r="O7" s="11"/>
    </row>
    <row r="8" spans="1:15" ht="12.75" customHeight="1">
      <c r="A8" s="13"/>
      <c r="B8" s="28"/>
      <c r="C8" s="2"/>
      <c r="D8" s="2"/>
      <c r="E8" s="2"/>
      <c r="F8" s="2"/>
    </row>
    <row r="9" spans="1:15" ht="12.75" customHeight="1">
      <c r="A9" s="13"/>
      <c r="B9" s="2" t="s">
        <v>920</v>
      </c>
      <c r="C9" s="26"/>
      <c r="D9" s="29"/>
      <c r="E9" s="636">
        <v>6.5000000000000002E-2</v>
      </c>
      <c r="F9" s="2"/>
    </row>
    <row r="10" spans="1:15" ht="12.75" customHeight="1">
      <c r="A10" s="13"/>
      <c r="B10" s="2" t="s">
        <v>1249</v>
      </c>
      <c r="C10" s="26"/>
      <c r="D10" s="26"/>
      <c r="E10" s="637">
        <v>3.8399999999999997E-2</v>
      </c>
      <c r="F10" s="2"/>
    </row>
    <row r="11" spans="1:15" ht="12.75" customHeight="1">
      <c r="A11" s="13"/>
      <c r="B11" s="2" t="s">
        <v>448</v>
      </c>
      <c r="C11" s="26"/>
      <c r="D11" s="26"/>
      <c r="E11" s="241"/>
      <c r="F11" s="30">
        <f>ROUND(E9*E10,6)</f>
        <v>2.496E-3</v>
      </c>
    </row>
    <row r="12" spans="1:15" ht="12.75" customHeight="1">
      <c r="A12" s="13"/>
      <c r="B12" s="2"/>
      <c r="C12" s="26"/>
      <c r="D12" s="26"/>
      <c r="E12" s="241"/>
      <c r="F12" s="30"/>
    </row>
    <row r="13" spans="1:15" ht="12.75" customHeight="1">
      <c r="A13" s="13"/>
      <c r="B13" s="2" t="s">
        <v>921</v>
      </c>
      <c r="C13" s="26"/>
      <c r="D13" s="29"/>
      <c r="E13" s="636">
        <v>6.5000000000000002E-2</v>
      </c>
      <c r="F13" s="2"/>
    </row>
    <row r="14" spans="1:15" ht="12.75" customHeight="1">
      <c r="A14" s="13"/>
      <c r="B14" s="2" t="s">
        <v>1249</v>
      </c>
      <c r="C14" s="26"/>
      <c r="D14" s="26"/>
      <c r="E14" s="637">
        <v>0.4093</v>
      </c>
      <c r="F14" s="2"/>
    </row>
    <row r="15" spans="1:15" ht="12.75" customHeight="1">
      <c r="A15" s="13"/>
      <c r="B15" s="2" t="s">
        <v>448</v>
      </c>
      <c r="C15" s="26"/>
      <c r="D15" s="26"/>
      <c r="E15" s="241"/>
      <c r="F15" s="30">
        <f>ROUND(E13*E14,6)</f>
        <v>2.6605E-2</v>
      </c>
    </row>
    <row r="16" spans="1:15" ht="12.75" customHeight="1">
      <c r="A16" s="13"/>
      <c r="B16" s="2"/>
      <c r="C16" s="26"/>
      <c r="D16" s="26"/>
      <c r="E16" s="241"/>
      <c r="F16" s="30"/>
    </row>
    <row r="17" spans="1:6" ht="12.75" customHeight="1">
      <c r="A17" s="13"/>
      <c r="B17" s="2" t="s">
        <v>922</v>
      </c>
      <c r="C17" s="26"/>
      <c r="D17" s="29"/>
      <c r="E17" s="636">
        <v>0</v>
      </c>
      <c r="F17" s="2"/>
    </row>
    <row r="18" spans="1:6" ht="12.75" customHeight="1">
      <c r="A18" s="13"/>
      <c r="B18" s="2" t="s">
        <v>1249</v>
      </c>
      <c r="C18" s="26"/>
      <c r="D18" s="26"/>
      <c r="E18" s="637">
        <v>0.465281</v>
      </c>
      <c r="F18" s="2"/>
    </row>
    <row r="19" spans="1:6" ht="12.75" customHeight="1">
      <c r="A19" s="13"/>
      <c r="B19" s="2" t="s">
        <v>448</v>
      </c>
      <c r="C19" s="26"/>
      <c r="D19" s="26"/>
      <c r="E19" s="241"/>
      <c r="F19" s="30">
        <f>ROUND(E17*E18,6)</f>
        <v>0</v>
      </c>
    </row>
    <row r="20" spans="1:6" ht="12.75" customHeight="1">
      <c r="A20" s="13"/>
      <c r="B20" s="2"/>
      <c r="C20" s="26"/>
      <c r="D20" s="26"/>
      <c r="E20" s="241"/>
      <c r="F20" s="30"/>
    </row>
    <row r="21" spans="1:6" ht="12.75" customHeight="1">
      <c r="A21" s="13"/>
      <c r="B21" s="2" t="s">
        <v>1474</v>
      </c>
      <c r="C21" s="26"/>
      <c r="D21" s="29"/>
      <c r="E21" s="636">
        <v>0.09</v>
      </c>
      <c r="F21" s="2"/>
    </row>
    <row r="22" spans="1:6" ht="12.75" customHeight="1">
      <c r="A22" s="13"/>
      <c r="B22" s="2" t="s">
        <v>1249</v>
      </c>
      <c r="C22" s="26"/>
      <c r="D22" s="26"/>
      <c r="E22" s="637">
        <v>0</v>
      </c>
      <c r="F22" s="2"/>
    </row>
    <row r="23" spans="1:6" ht="12.75" customHeight="1">
      <c r="A23" s="13"/>
      <c r="B23" s="2" t="s">
        <v>448</v>
      </c>
      <c r="C23" s="26"/>
      <c r="D23" s="26"/>
      <c r="E23" s="241"/>
      <c r="F23" s="30">
        <f>ROUND(E21*E22,6)</f>
        <v>0</v>
      </c>
    </row>
    <row r="24" spans="1:6" ht="12.75" customHeight="1">
      <c r="A24" s="13"/>
      <c r="B24" s="2"/>
      <c r="C24" s="26"/>
      <c r="D24" s="26"/>
      <c r="E24" s="241"/>
      <c r="F24" s="30"/>
    </row>
    <row r="25" spans="1:6" ht="12.75" customHeight="1">
      <c r="A25" s="13"/>
      <c r="B25" s="2" t="s">
        <v>923</v>
      </c>
      <c r="C25" s="26"/>
      <c r="D25" s="29"/>
      <c r="E25" s="636">
        <v>0.06</v>
      </c>
      <c r="F25" s="2"/>
    </row>
    <row r="26" spans="1:6" ht="12.75" customHeight="1">
      <c r="A26" s="13"/>
      <c r="B26" s="2" t="s">
        <v>1249</v>
      </c>
      <c r="C26" s="26"/>
      <c r="D26" s="26"/>
      <c r="E26" s="637">
        <v>1E-4</v>
      </c>
      <c r="F26" s="2"/>
    </row>
    <row r="27" spans="1:6" ht="12.75" customHeight="1">
      <c r="A27" s="13"/>
      <c r="B27" s="2" t="s">
        <v>448</v>
      </c>
      <c r="C27" s="26"/>
      <c r="D27" s="26"/>
      <c r="E27" s="241"/>
      <c r="F27" s="30">
        <f>ROUND(E25*E26,6)</f>
        <v>6.0000000000000002E-6</v>
      </c>
    </row>
    <row r="28" spans="1:6" ht="12.75" customHeight="1">
      <c r="A28" s="13"/>
      <c r="B28" s="2"/>
      <c r="C28" s="26"/>
      <c r="D28" s="26"/>
      <c r="E28" s="241"/>
      <c r="F28" s="30"/>
    </row>
    <row r="29" spans="1:6" ht="12.75" customHeight="1">
      <c r="A29" s="13"/>
      <c r="B29" s="2" t="s">
        <v>1217</v>
      </c>
      <c r="C29" s="26"/>
      <c r="D29" s="29"/>
      <c r="E29" s="636">
        <v>0.05</v>
      </c>
      <c r="F29" s="2"/>
    </row>
    <row r="30" spans="1:6" ht="12.75" customHeight="1">
      <c r="A30" s="13"/>
      <c r="B30" s="2" t="s">
        <v>1249</v>
      </c>
      <c r="C30" s="26"/>
      <c r="D30" s="26"/>
      <c r="E30" s="637">
        <v>6.9999999999999999E-4</v>
      </c>
      <c r="F30" s="2"/>
    </row>
    <row r="31" spans="1:6" ht="12.75" customHeight="1">
      <c r="A31" s="13"/>
      <c r="B31" s="2" t="s">
        <v>448</v>
      </c>
      <c r="C31" s="26"/>
      <c r="D31" s="26"/>
      <c r="E31" s="2"/>
      <c r="F31" s="30">
        <f>ROUND(E29*E30,6)</f>
        <v>3.4999999999999997E-5</v>
      </c>
    </row>
    <row r="32" spans="1:6" ht="12.75" customHeight="1">
      <c r="A32" s="13"/>
      <c r="B32" s="4"/>
    </row>
    <row r="33" spans="1:12" ht="12.75" customHeight="1">
      <c r="A33" s="13"/>
      <c r="B33" s="2" t="s">
        <v>1216</v>
      </c>
      <c r="C33" s="26"/>
      <c r="D33" s="29"/>
      <c r="E33" s="636">
        <v>2.2499999999999999E-2</v>
      </c>
      <c r="F33" s="2"/>
    </row>
    <row r="34" spans="1:12" ht="12.75" customHeight="1">
      <c r="A34" s="13"/>
      <c r="B34" s="2" t="s">
        <v>1249</v>
      </c>
      <c r="C34" s="26"/>
      <c r="D34" s="26"/>
      <c r="E34" s="637">
        <v>1E-4</v>
      </c>
      <c r="F34" s="2"/>
    </row>
    <row r="35" spans="1:12" ht="12.75" customHeight="1">
      <c r="A35" s="13"/>
      <c r="B35" s="2" t="s">
        <v>448</v>
      </c>
      <c r="C35" s="26"/>
      <c r="D35" s="26"/>
      <c r="E35" s="2"/>
      <c r="F35" s="30">
        <f>ROUND(E33*E34,6)</f>
        <v>1.9999999999999999E-6</v>
      </c>
    </row>
    <row r="36" spans="1:12" ht="12.75" customHeight="1">
      <c r="A36" s="13"/>
      <c r="B36" s="4"/>
    </row>
    <row r="37" spans="1:12" ht="12.75" customHeight="1">
      <c r="A37" s="13"/>
      <c r="B37" s="2" t="s">
        <v>924</v>
      </c>
      <c r="C37" s="26"/>
      <c r="D37" s="29"/>
      <c r="E37" s="636">
        <v>9.5000000000000001E-2</v>
      </c>
      <c r="F37" s="2"/>
    </row>
    <row r="38" spans="1:12" ht="12.75" customHeight="1">
      <c r="A38" s="13"/>
      <c r="B38" s="2" t="s">
        <v>1249</v>
      </c>
      <c r="C38" s="26"/>
      <c r="D38" s="26"/>
      <c r="E38" s="637">
        <v>2.3E-3</v>
      </c>
      <c r="F38" s="2"/>
    </row>
    <row r="39" spans="1:12" ht="12.75" customHeight="1">
      <c r="A39" s="13"/>
      <c r="B39" s="2" t="s">
        <v>448</v>
      </c>
      <c r="C39" s="26"/>
      <c r="D39" s="26"/>
      <c r="E39" s="2"/>
      <c r="F39" s="30">
        <f>ROUND(E37*E38,6)</f>
        <v>2.1900000000000001E-4</v>
      </c>
    </row>
    <row r="40" spans="1:12" ht="12.75" customHeight="1">
      <c r="A40" s="13"/>
      <c r="B40" s="4"/>
    </row>
    <row r="41" spans="1:12" ht="12.75" customHeight="1">
      <c r="A41" s="13"/>
      <c r="B41" s="2"/>
      <c r="C41" s="26"/>
      <c r="D41" s="26"/>
      <c r="E41" s="26"/>
      <c r="F41" s="31"/>
    </row>
    <row r="42" spans="1:12" ht="15.75" thickBot="1">
      <c r="A42" s="1"/>
      <c r="B42" s="2" t="s">
        <v>203</v>
      </c>
      <c r="C42" s="2"/>
      <c r="D42" s="2"/>
      <c r="E42" s="2"/>
      <c r="F42" s="103">
        <f>SUM(F11:F39)</f>
        <v>2.9363E-2</v>
      </c>
      <c r="L42" s="1"/>
    </row>
    <row r="43" spans="1:12" ht="13.5" thickTop="1">
      <c r="A43" s="1"/>
      <c r="L43" s="1"/>
    </row>
    <row r="44" spans="1:12">
      <c r="A44" s="1"/>
      <c r="L44" s="1"/>
    </row>
    <row r="45" spans="1:12" ht="12.75" customHeight="1">
      <c r="A45" s="1"/>
      <c r="C45" s="2"/>
      <c r="D45" s="2"/>
      <c r="E45" s="2"/>
      <c r="F45" s="2"/>
      <c r="L45" s="1"/>
    </row>
    <row r="46" spans="1:12" ht="21.75" customHeight="1">
      <c r="A46" s="2"/>
      <c r="B46" s="1288" t="s">
        <v>114</v>
      </c>
      <c r="C46" s="1288"/>
      <c r="D46" s="1288"/>
      <c r="E46" s="1288"/>
      <c r="F46" s="1288"/>
      <c r="G46" s="1288"/>
      <c r="I46" s="13"/>
    </row>
    <row r="47" spans="1:12" ht="12.75" customHeight="1">
      <c r="B47" s="1288"/>
      <c r="C47" s="1288"/>
      <c r="D47" s="1288"/>
      <c r="E47" s="1288"/>
      <c r="F47" s="1288"/>
      <c r="G47" s="1288"/>
    </row>
    <row r="48" spans="1:12" ht="17.25" customHeight="1">
      <c r="B48" s="1288"/>
      <c r="C48" s="1288"/>
      <c r="D48" s="1288"/>
      <c r="E48" s="1288"/>
      <c r="F48" s="1288"/>
      <c r="G48" s="1288"/>
    </row>
    <row r="49" spans="1:7" ht="18" customHeight="1">
      <c r="A49" s="4" t="s">
        <v>499</v>
      </c>
      <c r="B49" s="4" t="s">
        <v>75</v>
      </c>
      <c r="C49" s="4"/>
      <c r="D49" s="4"/>
      <c r="E49" s="4"/>
      <c r="F49" s="4"/>
      <c r="G49" s="4"/>
    </row>
    <row r="256" spans="2:2">
      <c r="B256" t="s">
        <v>114</v>
      </c>
    </row>
  </sheetData>
  <mergeCells count="5">
    <mergeCell ref="B46:G48"/>
    <mergeCell ref="A6:G6"/>
    <mergeCell ref="A3:H3"/>
    <mergeCell ref="A4:H4"/>
    <mergeCell ref="A5:H5"/>
  </mergeCells>
  <phoneticPr fontId="0" type="noConversion"/>
  <pageMargins left="0.26" right="1.28" top="1" bottom="1" header="0.75" footer="0.5"/>
  <pageSetup scale="89" orientation="portrait" r:id="rId1"/>
  <headerFooter alignWithMargins="0">
    <oddHeader>&amp;R&amp;"Arial,Bold"Formula Rate 
&amp;A
Page &amp;P of &amp;N</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pageSetUpPr autoPageBreaks="0" fitToPage="1"/>
  </sheetPr>
  <dimension ref="A1:AC82"/>
  <sheetViews>
    <sheetView tabSelected="1" topLeftCell="A41" zoomScale="70" zoomScaleNormal="70" workbookViewId="0">
      <selection activeCell="F7" sqref="F7"/>
    </sheetView>
  </sheetViews>
  <sheetFormatPr defaultColWidth="9.140625" defaultRowHeight="15"/>
  <cols>
    <col min="1" max="1" width="7.42578125" style="97" customWidth="1"/>
    <col min="2" max="2" width="1.5703125" style="86" customWidth="1"/>
    <col min="3" max="3" width="62.42578125" style="86" customWidth="1"/>
    <col min="4" max="4" width="19.140625" style="86" customWidth="1"/>
    <col min="5" max="5" width="22.5703125" style="93" bestFit="1" customWidth="1"/>
    <col min="6" max="6" width="1.5703125" style="86" customWidth="1"/>
    <col min="7" max="7" width="21.85546875" style="86" customWidth="1"/>
    <col min="8" max="8" width="1.5703125" style="86" customWidth="1"/>
    <col min="9" max="9" width="21.42578125" style="86" customWidth="1"/>
    <col min="10" max="10" width="1.5703125" style="86" customWidth="1"/>
    <col min="11" max="11" width="19.42578125" style="86" bestFit="1" customWidth="1"/>
    <col min="12" max="12" width="3.42578125" style="86" customWidth="1"/>
    <col min="13" max="13" width="22.5703125" style="86" customWidth="1"/>
    <col min="14" max="14" width="1.42578125" style="86" customWidth="1"/>
    <col min="15" max="15" width="22.140625" style="176" customWidth="1"/>
    <col min="16" max="16384" width="9.140625" style="86"/>
  </cols>
  <sheetData>
    <row r="1" spans="1:29" ht="15.75">
      <c r="A1" s="665" t="s">
        <v>114</v>
      </c>
    </row>
    <row r="2" spans="1:29" ht="15.75">
      <c r="A2" s="665" t="s">
        <v>114</v>
      </c>
    </row>
    <row r="3" spans="1:29" ht="18.75" customHeight="1">
      <c r="A3" s="1257" t="s">
        <v>387</v>
      </c>
      <c r="B3" s="1257"/>
      <c r="C3" s="1257"/>
      <c r="D3" s="1257"/>
      <c r="E3" s="1257"/>
      <c r="F3" s="1257"/>
      <c r="G3" s="1257"/>
      <c r="H3" s="1257"/>
      <c r="I3" s="1257"/>
      <c r="J3" s="1257"/>
      <c r="K3" s="1257"/>
      <c r="L3" s="1257"/>
      <c r="M3" s="1257"/>
    </row>
    <row r="4" spans="1:29" ht="18.75" customHeight="1">
      <c r="A4" s="1258" t="str">
        <f>"Cost of Service Formula Rate Using Actual/Projected FF1 Balances"</f>
        <v>Cost of Service Formula Rate Using Actual/Projected FF1 Balances</v>
      </c>
      <c r="B4" s="1258"/>
      <c r="C4" s="1258"/>
      <c r="D4" s="1258"/>
      <c r="E4" s="1258"/>
      <c r="F4" s="1258"/>
      <c r="G4" s="1258"/>
      <c r="H4" s="1258"/>
      <c r="I4" s="1258"/>
      <c r="J4" s="1258"/>
      <c r="K4" s="1258"/>
      <c r="L4" s="1258"/>
      <c r="M4" s="1258"/>
    </row>
    <row r="5" spans="1:29" ht="18.75" customHeight="1">
      <c r="A5" s="1258" t="s">
        <v>238</v>
      </c>
      <c r="B5" s="1258"/>
      <c r="C5" s="1258"/>
      <c r="D5" s="1258"/>
      <c r="E5" s="1258"/>
      <c r="F5" s="1258"/>
      <c r="G5" s="1258"/>
      <c r="H5" s="1258"/>
      <c r="I5" s="1258"/>
      <c r="J5" s="1258"/>
      <c r="K5" s="1258"/>
      <c r="L5" s="1258"/>
      <c r="M5" s="1258"/>
    </row>
    <row r="6" spans="1:29" ht="18.75" customHeight="1">
      <c r="A6" s="1259" t="str">
        <f>+TCOS!F9</f>
        <v>Appalachian Power Company</v>
      </c>
      <c r="B6" s="1259"/>
      <c r="C6" s="1259"/>
      <c r="D6" s="1259"/>
      <c r="E6" s="1259"/>
      <c r="F6" s="1259"/>
      <c r="G6" s="1259"/>
      <c r="H6" s="1259"/>
      <c r="I6" s="1259"/>
      <c r="J6" s="1259"/>
      <c r="K6" s="1259"/>
      <c r="L6" s="1259"/>
      <c r="M6" s="1259"/>
    </row>
    <row r="7" spans="1:29" ht="18" customHeight="1">
      <c r="A7" s="1263"/>
      <c r="B7" s="1263"/>
      <c r="C7" s="1263"/>
      <c r="D7" s="1263"/>
      <c r="E7" s="1263"/>
      <c r="F7" s="1263"/>
      <c r="G7" s="1263"/>
      <c r="H7" s="1263"/>
      <c r="I7" s="1263"/>
      <c r="J7" s="1263"/>
      <c r="K7" s="1263"/>
      <c r="L7" s="1263"/>
      <c r="M7" s="1263"/>
    </row>
    <row r="8" spans="1:29" ht="18" customHeight="1">
      <c r="A8" s="1286"/>
      <c r="B8" s="1286"/>
      <c r="C8" s="1286"/>
      <c r="D8" s="1286"/>
      <c r="E8" s="1286"/>
      <c r="F8" s="1286"/>
      <c r="G8" s="1286"/>
      <c r="H8" s="1286"/>
      <c r="I8" s="1286"/>
      <c r="J8" s="1286"/>
      <c r="K8" s="1286"/>
      <c r="L8" s="1286"/>
      <c r="M8" s="1286"/>
    </row>
    <row r="9" spans="1:29" ht="18" customHeight="1">
      <c r="A9" s="125"/>
      <c r="B9" s="125"/>
      <c r="C9" s="125"/>
      <c r="D9" s="125"/>
      <c r="E9" s="125"/>
      <c r="F9" s="125"/>
      <c r="G9" s="125"/>
      <c r="H9" s="125"/>
      <c r="I9" s="125"/>
      <c r="J9" s="125"/>
      <c r="K9" s="125"/>
      <c r="L9" s="125"/>
      <c r="M9" s="125"/>
    </row>
    <row r="10" spans="1:29" ht="19.5" customHeight="1">
      <c r="A10" s="88"/>
      <c r="B10" s="87"/>
      <c r="C10" s="25" t="s">
        <v>162</v>
      </c>
      <c r="E10" s="25" t="s">
        <v>163</v>
      </c>
      <c r="G10" s="25" t="s">
        <v>164</v>
      </c>
      <c r="I10" s="25" t="s">
        <v>165</v>
      </c>
      <c r="K10" s="25" t="s">
        <v>84</v>
      </c>
      <c r="M10" s="25" t="s">
        <v>85</v>
      </c>
    </row>
    <row r="11" spans="1:29" ht="18">
      <c r="A11" s="161"/>
      <c r="B11" s="162"/>
      <c r="C11" s="162"/>
      <c r="D11" s="162"/>
      <c r="E11"/>
      <c r="F11"/>
      <c r="G11"/>
      <c r="H11"/>
      <c r="I11"/>
      <c r="J11"/>
      <c r="K11"/>
      <c r="L11"/>
      <c r="M11"/>
      <c r="Q11" s="28"/>
      <c r="R11" s="28"/>
      <c r="S11" s="28"/>
      <c r="T11" s="28"/>
      <c r="U11" s="28"/>
      <c r="V11" s="28"/>
      <c r="W11" s="28"/>
      <c r="X11" s="28"/>
      <c r="Y11" s="28"/>
      <c r="Z11" s="28"/>
      <c r="AA11" s="28"/>
      <c r="AB11" s="28"/>
      <c r="AC11" s="28"/>
    </row>
    <row r="12" spans="1:29" ht="19.5">
      <c r="A12" s="161" t="s">
        <v>169</v>
      </c>
      <c r="B12" s="162"/>
      <c r="C12" s="162"/>
      <c r="D12" s="162"/>
      <c r="E12" s="163" t="s">
        <v>118</v>
      </c>
      <c r="F12" s="161"/>
      <c r="G12" s="161"/>
      <c r="H12" s="161"/>
      <c r="I12" s="161"/>
      <c r="J12" s="161"/>
      <c r="K12" s="92"/>
      <c r="L12" s="92"/>
      <c r="M12" s="164"/>
    </row>
    <row r="13" spans="1:29" ht="19.5">
      <c r="A13" s="165" t="s">
        <v>117</v>
      </c>
      <c r="B13" s="162"/>
      <c r="C13" s="165" t="s">
        <v>306</v>
      </c>
      <c r="D13" s="162"/>
      <c r="E13" s="166" t="s">
        <v>183</v>
      </c>
      <c r="F13" s="161"/>
      <c r="G13" s="165" t="s">
        <v>309</v>
      </c>
      <c r="H13" s="161"/>
      <c r="I13" s="165" t="s">
        <v>161</v>
      </c>
      <c r="J13" s="161"/>
      <c r="K13" s="167" t="s">
        <v>181</v>
      </c>
      <c r="L13" s="168"/>
      <c r="M13" s="167" t="s">
        <v>310</v>
      </c>
    </row>
    <row r="14" spans="1:29" ht="19.5">
      <c r="A14" s="88"/>
      <c r="B14" s="87"/>
      <c r="C14" s="85"/>
      <c r="D14" s="85"/>
      <c r="E14" s="85" t="s">
        <v>68</v>
      </c>
      <c r="F14" s="85"/>
      <c r="G14" s="85"/>
      <c r="H14" s="85"/>
      <c r="I14" s="85"/>
      <c r="J14" s="85"/>
      <c r="K14" s="84"/>
      <c r="L14" s="84"/>
    </row>
    <row r="15" spans="1:29" ht="19.5">
      <c r="A15" s="88"/>
      <c r="B15" s="87"/>
      <c r="C15" s="87"/>
      <c r="D15" s="87"/>
      <c r="E15" s="89"/>
      <c r="F15" s="87"/>
      <c r="G15" s="87"/>
      <c r="H15" s="87"/>
      <c r="I15" s="83"/>
      <c r="J15" s="87"/>
      <c r="K15" s="84"/>
      <c r="L15" s="84"/>
    </row>
    <row r="16" spans="1:29" ht="19.5">
      <c r="A16" s="88">
        <v>1</v>
      </c>
      <c r="B16" s="87"/>
      <c r="C16" s="90" t="s">
        <v>323</v>
      </c>
      <c r="D16" s="87"/>
      <c r="E16" s="84"/>
      <c r="F16" s="84"/>
      <c r="G16" s="91"/>
      <c r="H16" s="91"/>
      <c r="I16" s="91"/>
      <c r="J16" s="91"/>
      <c r="K16" s="91"/>
      <c r="L16" s="91"/>
      <c r="M16" s="91"/>
    </row>
    <row r="17" spans="1:15" ht="18">
      <c r="A17" s="88">
        <f>+A16+1</f>
        <v>2</v>
      </c>
      <c r="B17" s="87"/>
      <c r="C17" s="176" t="s">
        <v>307</v>
      </c>
      <c r="D17" s="176"/>
      <c r="E17" s="177">
        <f>'WS H-1-Detail of Tax Amts'!E15</f>
        <v>17001</v>
      </c>
      <c r="F17" s="176"/>
      <c r="G17" s="177"/>
      <c r="H17" s="177"/>
      <c r="I17" s="177"/>
      <c r="J17" s="177"/>
      <c r="K17" s="177"/>
      <c r="L17" s="177"/>
      <c r="M17" s="177">
        <f>+E17</f>
        <v>17001</v>
      </c>
    </row>
    <row r="18" spans="1:15" ht="18">
      <c r="A18" s="88"/>
      <c r="B18" s="87"/>
      <c r="C18" s="992"/>
      <c r="D18" s="176"/>
      <c r="E18" s="176"/>
      <c r="F18" s="176"/>
      <c r="G18" s="177"/>
      <c r="H18" s="177"/>
      <c r="I18" s="177"/>
      <c r="J18" s="177"/>
      <c r="K18" s="177"/>
      <c r="L18" s="177"/>
      <c r="M18" s="177"/>
    </row>
    <row r="19" spans="1:15" ht="18">
      <c r="A19" s="806">
        <f>+A17+1</f>
        <v>3</v>
      </c>
      <c r="B19" s="807"/>
      <c r="C19" s="993" t="s">
        <v>324</v>
      </c>
      <c r="D19" s="176"/>
      <c r="E19" s="176"/>
      <c r="F19" s="176"/>
      <c r="G19" s="177"/>
      <c r="H19" s="994"/>
      <c r="I19" s="994"/>
      <c r="J19" s="994"/>
      <c r="K19" s="994"/>
      <c r="L19" s="994"/>
      <c r="M19" s="994"/>
    </row>
    <row r="20" spans="1:15" ht="18">
      <c r="A20" s="806">
        <f>+A19+1</f>
        <v>4</v>
      </c>
      <c r="B20" s="807"/>
      <c r="C20" s="176" t="s">
        <v>598</v>
      </c>
      <c r="D20" s="176"/>
      <c r="E20" s="177">
        <f>'WS H-1-Detail of Tax Amts'!E27</f>
        <v>57951011.379999995</v>
      </c>
      <c r="F20" s="176"/>
      <c r="G20" s="177">
        <f>+E20</f>
        <v>57951011.379999995</v>
      </c>
      <c r="H20" s="994"/>
      <c r="I20" s="994"/>
      <c r="J20" s="994"/>
      <c r="K20" s="994"/>
      <c r="L20" s="994"/>
      <c r="M20" s="994"/>
      <c r="O20"/>
    </row>
    <row r="21" spans="1:15" ht="18">
      <c r="A21" s="806">
        <f>+A20+1</f>
        <v>5</v>
      </c>
      <c r="B21" s="807"/>
      <c r="C21" s="176" t="s">
        <v>599</v>
      </c>
      <c r="D21" s="176"/>
      <c r="E21" s="177">
        <f>'WS H-1-Detail of Tax Amts'!E36</f>
        <v>29425064.98</v>
      </c>
      <c r="F21" s="176"/>
      <c r="G21" s="177">
        <f>+E21</f>
        <v>29425064.98</v>
      </c>
      <c r="H21" s="994"/>
      <c r="I21" s="994"/>
      <c r="J21" s="994"/>
      <c r="K21" s="994"/>
      <c r="L21" s="994"/>
      <c r="M21" s="994"/>
      <c r="O21"/>
    </row>
    <row r="22" spans="1:15" ht="18">
      <c r="A22" s="806">
        <f>+A21+1</f>
        <v>6</v>
      </c>
      <c r="B22" s="807"/>
      <c r="C22" s="176" t="s">
        <v>595</v>
      </c>
      <c r="D22" s="177"/>
      <c r="E22" s="177">
        <f>'WS H-1-Detail of Tax Amts'!E55</f>
        <v>1059964.1200000001</v>
      </c>
      <c r="F22" s="176"/>
      <c r="G22" s="177">
        <f>+E22</f>
        <v>1059964.1200000001</v>
      </c>
      <c r="H22" s="994"/>
      <c r="I22" s="994"/>
      <c r="J22" s="994"/>
      <c r="K22" s="994"/>
      <c r="L22" s="994"/>
      <c r="M22" s="994"/>
      <c r="O22"/>
    </row>
    <row r="23" spans="1:15" ht="18">
      <c r="A23" s="806">
        <f>+A22+1</f>
        <v>7</v>
      </c>
      <c r="B23" s="807"/>
      <c r="C23" s="176" t="s">
        <v>463</v>
      </c>
      <c r="D23" s="177"/>
      <c r="E23" s="177">
        <f>'WS H-1-Detail of Tax Amts'!E61</f>
        <v>5317309.04</v>
      </c>
      <c r="F23" s="176"/>
      <c r="G23" s="177">
        <f>E23</f>
        <v>5317309.04</v>
      </c>
      <c r="H23" s="994"/>
      <c r="I23" s="994"/>
      <c r="J23" s="994"/>
      <c r="K23" s="994"/>
      <c r="L23" s="994"/>
      <c r="M23" s="994"/>
      <c r="O23"/>
    </row>
    <row r="24" spans="1:15" ht="18">
      <c r="A24" s="88"/>
      <c r="B24" s="87"/>
      <c r="C24" s="992"/>
      <c r="D24" s="176"/>
      <c r="E24" s="176"/>
      <c r="F24" s="176"/>
      <c r="G24" s="177"/>
      <c r="H24" s="177"/>
      <c r="I24" s="177"/>
      <c r="J24" s="177"/>
      <c r="K24" s="177"/>
      <c r="L24" s="177"/>
      <c r="M24" s="177"/>
      <c r="O24" s="177"/>
    </row>
    <row r="25" spans="1:15" ht="18">
      <c r="A25" s="88">
        <f>+A23+1</f>
        <v>8</v>
      </c>
      <c r="B25" s="87"/>
      <c r="C25" s="993" t="s">
        <v>325</v>
      </c>
      <c r="D25" s="176"/>
      <c r="E25" s="176"/>
      <c r="F25" s="176"/>
      <c r="G25" s="177"/>
      <c r="H25" s="177"/>
      <c r="I25" s="177"/>
      <c r="J25" s="177"/>
      <c r="K25" s="177"/>
      <c r="L25" s="177"/>
      <c r="M25" s="177"/>
      <c r="O25" s="177"/>
    </row>
    <row r="26" spans="1:15" ht="18">
      <c r="A26" s="88">
        <f>+A25+1</f>
        <v>9</v>
      </c>
      <c r="B26" s="87"/>
      <c r="C26" s="176" t="s">
        <v>321</v>
      </c>
      <c r="D26" s="176"/>
      <c r="E26" s="177">
        <f>'WS H-1-Detail of Tax Amts'!E73</f>
        <v>9002776</v>
      </c>
      <c r="F26" s="176"/>
      <c r="G26" s="177"/>
      <c r="H26" s="177"/>
      <c r="I26" s="177">
        <f>+E26</f>
        <v>9002776</v>
      </c>
      <c r="J26" s="177"/>
      <c r="K26" s="177"/>
      <c r="L26" s="177"/>
      <c r="M26" s="177"/>
      <c r="O26" s="177"/>
    </row>
    <row r="27" spans="1:15" ht="18">
      <c r="A27" s="88">
        <f>+A26+1</f>
        <v>10</v>
      </c>
      <c r="B27" s="87"/>
      <c r="C27" s="176" t="s">
        <v>314</v>
      </c>
      <c r="D27" s="176"/>
      <c r="E27" s="177">
        <f>'WS H-1-Detail of Tax Amts'!E76</f>
        <v>0</v>
      </c>
      <c r="F27" s="176"/>
      <c r="G27" s="176"/>
      <c r="H27" s="176"/>
      <c r="I27" s="177">
        <f>+E27</f>
        <v>0</v>
      </c>
      <c r="J27" s="176"/>
      <c r="K27" s="176"/>
      <c r="L27" s="176"/>
      <c r="M27" s="177"/>
    </row>
    <row r="28" spans="1:15" ht="18">
      <c r="A28" s="88">
        <f>+A27+1</f>
        <v>11</v>
      </c>
      <c r="B28" s="87"/>
      <c r="C28" s="176" t="s">
        <v>315</v>
      </c>
      <c r="D28" s="176"/>
      <c r="E28" s="177">
        <f>'WS H-1-Detail of Tax Amts'!E78</f>
        <v>91446.81</v>
      </c>
      <c r="F28" s="176"/>
      <c r="G28" s="176"/>
      <c r="H28" s="176"/>
      <c r="I28" s="177">
        <f>+E28</f>
        <v>91446.81</v>
      </c>
      <c r="J28" s="995"/>
      <c r="K28" s="176"/>
      <c r="L28" s="176"/>
      <c r="M28" s="177"/>
    </row>
    <row r="29" spans="1:15" ht="18">
      <c r="A29" s="88" t="s">
        <v>114</v>
      </c>
      <c r="B29" s="87"/>
      <c r="C29" s="176"/>
      <c r="D29" s="176"/>
      <c r="E29" s="176"/>
      <c r="F29" s="176"/>
      <c r="G29" s="176"/>
      <c r="H29" s="176"/>
      <c r="I29" s="177"/>
      <c r="J29" s="98"/>
      <c r="K29" s="100"/>
      <c r="L29" s="100"/>
      <c r="M29" s="177"/>
    </row>
    <row r="30" spans="1:15" ht="18">
      <c r="A30" s="88">
        <f>A28+1</f>
        <v>12</v>
      </c>
      <c r="B30" s="87"/>
      <c r="C30" s="993" t="s">
        <v>440</v>
      </c>
      <c r="D30" s="176"/>
      <c r="E30" s="176"/>
      <c r="F30" s="176"/>
      <c r="G30" s="176"/>
      <c r="H30" s="176"/>
      <c r="I30" s="177"/>
      <c r="J30" s="98"/>
      <c r="K30" s="100"/>
      <c r="L30" s="100"/>
      <c r="M30" s="177"/>
    </row>
    <row r="31" spans="1:15" ht="18">
      <c r="A31" s="88">
        <f>A30+1</f>
        <v>13</v>
      </c>
      <c r="B31" s="87"/>
      <c r="C31" s="176" t="s">
        <v>441</v>
      </c>
      <c r="D31" s="994"/>
      <c r="E31" s="177">
        <f>'WS H-1-Detail of Tax Amts'!E87</f>
        <v>0</v>
      </c>
      <c r="F31" s="176"/>
      <c r="G31" s="176"/>
      <c r="H31" s="176"/>
      <c r="I31" s="177"/>
      <c r="J31" s="98"/>
      <c r="K31" s="100"/>
      <c r="L31" s="100"/>
      <c r="M31" s="177">
        <f>E31</f>
        <v>0</v>
      </c>
    </row>
    <row r="32" spans="1:15" ht="18">
      <c r="A32" s="88"/>
      <c r="B32" s="87"/>
      <c r="C32" s="176"/>
      <c r="D32" s="176"/>
      <c r="E32" s="176"/>
      <c r="F32" s="176"/>
      <c r="G32" s="176"/>
      <c r="H32" s="176"/>
      <c r="I32" s="177"/>
      <c r="J32" s="98"/>
      <c r="K32" s="100"/>
      <c r="L32" s="100"/>
      <c r="M32" s="177"/>
    </row>
    <row r="33" spans="1:13" ht="18">
      <c r="A33" s="94">
        <f>+A31+1</f>
        <v>14</v>
      </c>
      <c r="B33" s="95"/>
      <c r="C33" s="993" t="s">
        <v>322</v>
      </c>
      <c r="D33" s="996"/>
      <c r="E33" s="176"/>
      <c r="F33" s="176"/>
      <c r="G33" s="177"/>
      <c r="H33" s="177"/>
      <c r="I33" s="177"/>
      <c r="J33" s="177"/>
      <c r="K33" s="177"/>
      <c r="L33" s="177"/>
      <c r="M33" s="177"/>
    </row>
    <row r="34" spans="1:13" ht="18">
      <c r="A34" s="94">
        <f>A33+1</f>
        <v>15</v>
      </c>
      <c r="B34" s="95"/>
      <c r="C34" s="176" t="s">
        <v>439</v>
      </c>
      <c r="D34" s="996"/>
      <c r="E34" s="177">
        <f>'WS H-1-Detail of Tax Amts'!E91</f>
        <v>44476640</v>
      </c>
      <c r="F34" s="176"/>
      <c r="G34" s="177"/>
      <c r="H34" s="177"/>
      <c r="I34" s="177"/>
      <c r="J34" s="177"/>
      <c r="K34" s="177"/>
      <c r="L34" s="177"/>
      <c r="M34" s="177">
        <f>E34</f>
        <v>44476640</v>
      </c>
    </row>
    <row r="35" spans="1:13" ht="18">
      <c r="A35" s="88">
        <f>A34+1</f>
        <v>16</v>
      </c>
      <c r="B35" s="87"/>
      <c r="C35" s="176" t="s">
        <v>316</v>
      </c>
      <c r="D35" s="176"/>
      <c r="E35" s="177">
        <f>'WS H-1-Detail of Tax Amts'!E97</f>
        <v>0</v>
      </c>
      <c r="F35" s="176"/>
      <c r="G35" s="177"/>
      <c r="H35" s="177"/>
      <c r="I35" s="177"/>
      <c r="J35" s="177"/>
      <c r="K35" s="177">
        <f>+E35</f>
        <v>0</v>
      </c>
      <c r="L35" s="177"/>
      <c r="M35" s="177"/>
    </row>
    <row r="36" spans="1:13" ht="18">
      <c r="A36" s="88">
        <f t="shared" ref="A36:A42" si="0">+A35+1</f>
        <v>17</v>
      </c>
      <c r="B36" s="87"/>
      <c r="C36" s="176" t="s">
        <v>317</v>
      </c>
      <c r="D36" s="2"/>
      <c r="E36" s="177">
        <f>'WS H-1-Detail of Tax Amts'!E101</f>
        <v>1006631</v>
      </c>
      <c r="F36" s="176"/>
      <c r="G36" s="177"/>
      <c r="H36" s="177"/>
      <c r="I36" s="177"/>
      <c r="J36" s="177"/>
      <c r="K36" s="177">
        <f>+E36</f>
        <v>1006631</v>
      </c>
      <c r="L36" s="177"/>
      <c r="M36" s="177"/>
    </row>
    <row r="37" spans="1:13" ht="18">
      <c r="A37" s="88">
        <f>+A36+1</f>
        <v>18</v>
      </c>
      <c r="B37" s="87"/>
      <c r="C37" s="176" t="s">
        <v>318</v>
      </c>
      <c r="D37" s="2"/>
      <c r="E37" s="177">
        <f>'WS H-1-Detail of Tax Amts'!E111</f>
        <v>0</v>
      </c>
      <c r="F37" s="176"/>
      <c r="G37" s="177"/>
      <c r="H37" s="177"/>
      <c r="I37" s="177"/>
      <c r="J37" s="177"/>
      <c r="K37" s="177">
        <f>+E37</f>
        <v>0</v>
      </c>
      <c r="L37" s="177"/>
      <c r="M37" s="177"/>
    </row>
    <row r="38" spans="1:13" ht="18">
      <c r="A38" s="88">
        <f t="shared" si="0"/>
        <v>19</v>
      </c>
      <c r="B38" s="87"/>
      <c r="C38" s="176" t="s">
        <v>319</v>
      </c>
      <c r="D38" s="176"/>
      <c r="E38" s="177">
        <f>'WS H-1-Detail of Tax Amts'!E118</f>
        <v>24428268</v>
      </c>
      <c r="F38" s="176"/>
      <c r="G38" s="177"/>
      <c r="H38" s="177"/>
      <c r="I38" s="177"/>
      <c r="J38" s="177"/>
      <c r="K38" s="177">
        <f>+E38</f>
        <v>24428268</v>
      </c>
      <c r="L38" s="177"/>
      <c r="M38" s="177"/>
    </row>
    <row r="39" spans="1:13" ht="18">
      <c r="A39" s="88">
        <f t="shared" si="0"/>
        <v>20</v>
      </c>
      <c r="B39" s="87"/>
      <c r="C39" s="176" t="s">
        <v>320</v>
      </c>
      <c r="D39" s="176"/>
      <c r="E39" s="177">
        <f>'WS H-1-Detail of Tax Amts'!E128</f>
        <v>-180902</v>
      </c>
      <c r="F39" s="176"/>
      <c r="G39" s="177"/>
      <c r="H39" s="177"/>
      <c r="I39" s="177"/>
      <c r="J39" s="177"/>
      <c r="K39" s="177"/>
      <c r="L39" s="177"/>
      <c r="M39" s="177">
        <f>+E39</f>
        <v>-180902</v>
      </c>
    </row>
    <row r="40" spans="1:13" ht="19.5">
      <c r="A40" s="88">
        <f t="shared" si="0"/>
        <v>21</v>
      </c>
      <c r="B40" s="84"/>
      <c r="C40" s="176" t="s">
        <v>308</v>
      </c>
      <c r="D40" s="176"/>
      <c r="E40" s="177">
        <f>'WS H-1-Detail of Tax Amts'!E136</f>
        <v>63725</v>
      </c>
      <c r="F40" s="176"/>
      <c r="G40" s="177"/>
      <c r="H40" s="177"/>
      <c r="I40" s="177"/>
      <c r="J40" s="177"/>
      <c r="K40" s="177"/>
      <c r="L40" s="177"/>
      <c r="M40" s="177">
        <f>+E40</f>
        <v>63725</v>
      </c>
    </row>
    <row r="41" spans="1:13" ht="19.5">
      <c r="A41" s="88">
        <f t="shared" si="0"/>
        <v>22</v>
      </c>
      <c r="B41" s="84"/>
      <c r="C41" s="2" t="s">
        <v>1065</v>
      </c>
      <c r="D41" s="176"/>
      <c r="E41" s="177">
        <f>'WS H-1-Detail of Tax Amts'!E139</f>
        <v>0</v>
      </c>
      <c r="F41" s="176"/>
      <c r="G41" s="177"/>
      <c r="H41" s="177"/>
      <c r="I41" s="177"/>
      <c r="J41" s="177"/>
      <c r="K41" s="177"/>
      <c r="L41" s="177"/>
      <c r="M41" s="177">
        <f>+E41</f>
        <v>0</v>
      </c>
    </row>
    <row r="42" spans="1:13" ht="19.5">
      <c r="A42" s="88">
        <f t="shared" si="0"/>
        <v>23</v>
      </c>
      <c r="B42" s="84"/>
      <c r="C42" s="2"/>
      <c r="D42" s="176"/>
      <c r="E42" s="177"/>
      <c r="F42" s="176"/>
      <c r="G42" s="177"/>
      <c r="H42" s="177"/>
      <c r="I42" s="177"/>
      <c r="J42" s="177"/>
      <c r="K42" s="177"/>
      <c r="L42" s="177"/>
      <c r="M42" s="177"/>
    </row>
    <row r="43" spans="1:13" ht="18.75" thickBot="1">
      <c r="A43" s="88">
        <f>A42+1</f>
        <v>24</v>
      </c>
      <c r="B43" s="68"/>
      <c r="C43" s="176" t="s">
        <v>311</v>
      </c>
      <c r="D43" s="2"/>
      <c r="E43" s="997">
        <f>SUM(E17:E41)</f>
        <v>172658935.33000001</v>
      </c>
      <c r="F43" s="176"/>
      <c r="G43" s="997">
        <f>SUM(G17:G41)</f>
        <v>93753349.520000011</v>
      </c>
      <c r="H43" s="99"/>
      <c r="I43" s="997">
        <f>SUM(I17:I41)</f>
        <v>9094222.8100000005</v>
      </c>
      <c r="J43" s="99"/>
      <c r="K43" s="997">
        <f>SUM(K17:K41)</f>
        <v>25434899</v>
      </c>
      <c r="L43" s="100"/>
      <c r="M43" s="997">
        <f>SUM(M17:M41)</f>
        <v>44376464</v>
      </c>
    </row>
    <row r="44" spans="1:13" ht="15.75" thickTop="1">
      <c r="A44" s="4"/>
      <c r="B44" s="68"/>
      <c r="C44" s="176" t="s">
        <v>381</v>
      </c>
      <c r="D44" s="2"/>
      <c r="E44" s="2"/>
      <c r="F44" s="176"/>
      <c r="G44" s="99"/>
      <c r="H44" s="99"/>
      <c r="I44" s="99"/>
      <c r="J44" s="99"/>
      <c r="K44" s="100"/>
      <c r="L44" s="100"/>
      <c r="M44" s="100"/>
    </row>
    <row r="45" spans="1:13">
      <c r="A45" s="4"/>
      <c r="B45" s="68"/>
      <c r="C45" s="176" t="s">
        <v>79</v>
      </c>
      <c r="D45" s="2"/>
      <c r="E45" s="2"/>
      <c r="F45" s="176"/>
      <c r="G45" s="99"/>
      <c r="H45" s="99"/>
      <c r="I45" s="99"/>
      <c r="J45" s="99"/>
      <c r="K45" s="100"/>
      <c r="L45" s="100"/>
      <c r="M45" s="100"/>
    </row>
    <row r="46" spans="1:13" ht="15.75">
      <c r="A46" s="4"/>
      <c r="B46" s="68"/>
      <c r="C46" s="1289" t="s">
        <v>462</v>
      </c>
      <c r="D46" s="1289"/>
      <c r="E46" s="1289"/>
      <c r="F46" s="1289"/>
      <c r="G46" s="1289"/>
      <c r="H46" s="1289"/>
      <c r="I46" s="1289"/>
      <c r="J46" s="1289"/>
      <c r="K46" s="1289"/>
      <c r="L46" s="1289"/>
      <c r="M46" s="1289"/>
    </row>
    <row r="47" spans="1:13" ht="18">
      <c r="A47" s="88"/>
      <c r="C47" s="176"/>
      <c r="D47" s="176"/>
      <c r="E47" s="998" t="s">
        <v>229</v>
      </c>
      <c r="F47" s="176"/>
      <c r="G47" s="998" t="s">
        <v>333</v>
      </c>
      <c r="H47" s="998"/>
      <c r="I47" s="998" t="s">
        <v>438</v>
      </c>
      <c r="J47" s="998"/>
      <c r="K47" s="998" t="s">
        <v>334</v>
      </c>
      <c r="L47" s="998"/>
      <c r="M47" s="998" t="s">
        <v>118</v>
      </c>
    </row>
    <row r="48" spans="1:13" ht="18">
      <c r="A48" s="88">
        <f>+A43+1</f>
        <v>25</v>
      </c>
      <c r="C48" s="999" t="str">
        <f>"Functionalized Net Plant (TCOS, Lns "&amp;TCOS!B94&amp;" thru "&amp;TCOS!B100&amp;")"</f>
        <v>Functionalized Net Plant (TCOS, Lns 41 thru 46)</v>
      </c>
      <c r="D48" s="176"/>
      <c r="E48" s="1000">
        <f>+TCOS!G94</f>
        <v>3457863252.2746148</v>
      </c>
      <c r="F48" s="999"/>
      <c r="G48" s="1000">
        <f>+TCOS!G95</f>
        <v>4104136448.1300001</v>
      </c>
      <c r="H48" s="999"/>
      <c r="I48" s="1000">
        <f>+TCOS!G96</f>
        <v>3852360002.4830775</v>
      </c>
      <c r="J48" s="999"/>
      <c r="K48" s="1000">
        <f>+TCOS!G97</f>
        <v>626374919.99230742</v>
      </c>
      <c r="L48" s="176"/>
      <c r="M48" s="1001">
        <f>SUM(E48:K48)</f>
        <v>12040734622.880001</v>
      </c>
    </row>
    <row r="49" spans="1:15" ht="18">
      <c r="A49" s="88"/>
      <c r="C49" s="992" t="s">
        <v>925</v>
      </c>
      <c r="D49" s="176"/>
      <c r="E49" s="1001"/>
      <c r="F49" s="176"/>
      <c r="G49" s="1002"/>
      <c r="H49" s="176"/>
      <c r="I49" s="1001"/>
      <c r="J49" s="176"/>
      <c r="K49" s="1001"/>
      <c r="L49" s="176"/>
      <c r="M49" s="1003"/>
      <c r="O49"/>
    </row>
    <row r="50" spans="1:15" ht="18">
      <c r="A50" s="88">
        <f>+A48+1</f>
        <v>26</v>
      </c>
      <c r="C50" s="176" t="str">
        <f>"Percentage of Plant in "&amp;C49&amp;""</f>
        <v>Percentage of Plant in VIRGINIA JURISDICTION</v>
      </c>
      <c r="D50" s="176"/>
      <c r="E50" s="1004">
        <v>0.13263676649563</v>
      </c>
      <c r="F50" s="1002"/>
      <c r="G50" s="1004">
        <v>0.61079870007028203</v>
      </c>
      <c r="H50" s="1002"/>
      <c r="I50" s="1004">
        <v>0.55445542618234001</v>
      </c>
      <c r="J50" s="1002"/>
      <c r="K50" s="1004">
        <v>0.59860558332507596</v>
      </c>
      <c r="L50" s="176"/>
      <c r="M50" s="1003"/>
      <c r="O50"/>
    </row>
    <row r="51" spans="1:15" ht="18">
      <c r="A51" s="88">
        <f t="shared" ref="A51:A57" si="1">+A50+1</f>
        <v>27</v>
      </c>
      <c r="C51" s="999" t="str">
        <f>"Net Plant in "&amp;C49&amp;" (Ln "&amp;A48&amp;" * Ln "&amp;A50&amp;")"</f>
        <v>Net Plant in VIRGINIA JURISDICTION (Ln 25 * Ln 26)</v>
      </c>
      <c r="D51" s="176"/>
      <c r="E51" s="1001">
        <f>+E48*E50</f>
        <v>458639800.76576781</v>
      </c>
      <c r="F51" s="176"/>
      <c r="G51" s="1001">
        <f>+G48*G50</f>
        <v>2506801207.4288688</v>
      </c>
      <c r="H51" s="176"/>
      <c r="I51" s="1001">
        <f>+I48*I50</f>
        <v>2135961906.9845552</v>
      </c>
      <c r="J51" s="176"/>
      <c r="K51" s="1001">
        <f>+K48*K50</f>
        <v>374951524.36219299</v>
      </c>
      <c r="L51" s="176"/>
      <c r="M51" s="1001">
        <f>SUM(E51:K51)</f>
        <v>5476354439.5413847</v>
      </c>
      <c r="O51"/>
    </row>
    <row r="52" spans="1:15" ht="18">
      <c r="A52" s="88">
        <f t="shared" si="1"/>
        <v>28</v>
      </c>
      <c r="C52" s="999" t="s">
        <v>225</v>
      </c>
      <c r="D52" s="176"/>
      <c r="E52" s="1092">
        <v>34524674</v>
      </c>
      <c r="F52" s="176"/>
      <c r="G52" s="1006"/>
      <c r="H52" s="176"/>
      <c r="I52" s="1006"/>
      <c r="J52" s="176"/>
      <c r="K52" s="1006"/>
      <c r="L52" s="176"/>
      <c r="M52" s="1001"/>
      <c r="O52"/>
    </row>
    <row r="53" spans="1:15" ht="18">
      <c r="A53" s="88">
        <f t="shared" si="1"/>
        <v>29</v>
      </c>
      <c r="C53" s="176" t="str">
        <f>"Taxable Property Basis (Ln "&amp;A51&amp;" - Ln "&amp;A52&amp;")"</f>
        <v>Taxable Property Basis (Ln 27 - Ln 28)</v>
      </c>
      <c r="D53" s="176"/>
      <c r="E53" s="1001">
        <f>+E51-E52</f>
        <v>424115126.76576781</v>
      </c>
      <c r="F53" s="176"/>
      <c r="G53" s="1001">
        <f>+G51-G52</f>
        <v>2506801207.4288688</v>
      </c>
      <c r="H53" s="176"/>
      <c r="I53" s="1001">
        <f>+I51-I52</f>
        <v>2135961906.9845552</v>
      </c>
      <c r="J53" s="176"/>
      <c r="K53" s="1001">
        <f>+K51-K52</f>
        <v>374951524.36219299</v>
      </c>
      <c r="L53" s="176"/>
      <c r="M53" s="1001">
        <f>SUM(E53:K53)</f>
        <v>5441829765.5413847</v>
      </c>
      <c r="O53"/>
    </row>
    <row r="54" spans="1:15" ht="18">
      <c r="A54" s="88">
        <f t="shared" si="1"/>
        <v>30</v>
      </c>
      <c r="C54" s="177" t="s">
        <v>461</v>
      </c>
      <c r="D54" s="176"/>
      <c r="E54" s="1004">
        <v>1</v>
      </c>
      <c r="F54" s="1002"/>
      <c r="G54" s="1004">
        <v>1</v>
      </c>
      <c r="H54" s="1002"/>
      <c r="I54" s="1004">
        <v>1</v>
      </c>
      <c r="J54" s="1002"/>
      <c r="K54" s="1004">
        <v>1</v>
      </c>
      <c r="L54" s="176"/>
      <c r="M54" s="1007">
        <f>SUM(E54:K54)</f>
        <v>4</v>
      </c>
    </row>
    <row r="55" spans="1:15" ht="18">
      <c r="A55" s="88">
        <f t="shared" si="1"/>
        <v>31</v>
      </c>
      <c r="C55" s="999" t="str">
        <f>"Weighted Net Plant (Ln "&amp;A53&amp;" * Ln "&amp;A54&amp;")"</f>
        <v>Weighted Net Plant (Ln 29 * Ln 30)</v>
      </c>
      <c r="D55" s="176"/>
      <c r="E55" s="1001">
        <f>+E53*E54</f>
        <v>424115126.76576781</v>
      </c>
      <c r="F55" s="176"/>
      <c r="G55" s="1001">
        <f>+G53*G54</f>
        <v>2506801207.4288688</v>
      </c>
      <c r="H55" s="176"/>
      <c r="I55" s="1001">
        <f>+I53*I54</f>
        <v>2135961906.9845552</v>
      </c>
      <c r="J55" s="176"/>
      <c r="K55" s="1001">
        <f>+K53*K54</f>
        <v>374951524.36219299</v>
      </c>
      <c r="L55" s="176"/>
      <c r="M55" s="1001"/>
    </row>
    <row r="56" spans="1:15" ht="18">
      <c r="A56" s="88">
        <f t="shared" si="1"/>
        <v>32</v>
      </c>
      <c r="C56" s="176" t="str">
        <f>+"General Plant Allocator (Ln "&amp;A55&amp;" / (Total - General Plant))"</f>
        <v>General Plant Allocator (Ln 31 / (Total - General Plant))</v>
      </c>
      <c r="D56" s="176"/>
      <c r="E56" s="1008">
        <f>IF(E54=0,0,+E55/($E55+$G55+$I55))</f>
        <v>8.3703437615478479E-2</v>
      </c>
      <c r="F56" s="176"/>
      <c r="G56" s="1008">
        <f>IF(G54=0,0,+G55/($E55+$G55+$I55))</f>
        <v>0.49474273667280239</v>
      </c>
      <c r="H56" s="176"/>
      <c r="I56" s="1008">
        <f>IF(I54=0,0,+I55/($E55+$G55+$I55))</f>
        <v>0.42155382571171918</v>
      </c>
      <c r="J56" s="176"/>
      <c r="K56" s="1008">
        <v>-1</v>
      </c>
      <c r="L56" s="176"/>
      <c r="M56" s="176"/>
    </row>
    <row r="57" spans="1:15" ht="18">
      <c r="A57" s="88">
        <f t="shared" si="1"/>
        <v>33</v>
      </c>
      <c r="C57" s="176" t="str">
        <f>"Functionalized General Plant (Ln "&amp;A56&amp;" * General Plant)"</f>
        <v>Functionalized General Plant (Ln 32 * General Plant)</v>
      </c>
      <c r="D57" s="176"/>
      <c r="E57" s="1009">
        <f>ROUND($K55*E56,0)</f>
        <v>31384732</v>
      </c>
      <c r="F57" s="176"/>
      <c r="G57" s="1009">
        <f>+G56*K55</f>
        <v>185504543.2825903</v>
      </c>
      <c r="H57" s="176"/>
      <c r="I57" s="1009">
        <f>ROUND($K55*I56,0)</f>
        <v>158062250</v>
      </c>
      <c r="J57" s="176"/>
      <c r="K57" s="1009">
        <f>ROUND($K55*K56,0)</f>
        <v>-374951524</v>
      </c>
      <c r="L57" s="176"/>
      <c r="M57" s="1001">
        <f>IF(SUM(E57:K57)&lt;&gt;0,0,0)</f>
        <v>0</v>
      </c>
    </row>
    <row r="58" spans="1:15" ht="18">
      <c r="A58" s="88">
        <f>+A57+1</f>
        <v>34</v>
      </c>
      <c r="C58" s="176" t="str">
        <f>"Weighted "&amp;C49&amp;" Plant (Ln "&amp;A55&amp;" + "&amp;A57&amp;")"</f>
        <v>Weighted VIRGINIA JURISDICTION Plant (Ln 31 + 33)</v>
      </c>
      <c r="D58" s="176"/>
      <c r="E58" s="1001">
        <f>+E55+E57</f>
        <v>455499858.76576781</v>
      </c>
      <c r="F58" s="176"/>
      <c r="G58" s="1001">
        <f>+G55+G57</f>
        <v>2692305750.7114592</v>
      </c>
      <c r="H58" s="176"/>
      <c r="I58" s="1001">
        <f>+I55+I57</f>
        <v>2294024156.9845552</v>
      </c>
      <c r="J58" s="176"/>
      <c r="K58" s="1001">
        <f>+K55+K57</f>
        <v>0.36219298839569092</v>
      </c>
      <c r="L58" s="176"/>
      <c r="M58" s="1001">
        <f>SUM(E58:K58)-SUM(E57:K57)</f>
        <v>5441829765.5413857</v>
      </c>
    </row>
    <row r="59" spans="1:15" ht="18">
      <c r="A59" s="88">
        <f>+A58+1</f>
        <v>35</v>
      </c>
      <c r="C59" s="176" t="str">
        <f>"Functional Percentage (Ln "&amp;A58&amp;"/Total Ln "&amp;A58&amp;")"</f>
        <v>Functional Percentage (Ln 34/Total Ln 34)</v>
      </c>
      <c r="D59" s="176"/>
      <c r="E59" s="1002">
        <f>+E58/M58</f>
        <v>8.3703437702162667E-2</v>
      </c>
      <c r="F59" s="176"/>
      <c r="G59" s="1010">
        <f>+G58/M58</f>
        <v>0.49474273667280227</v>
      </c>
      <c r="H59" s="176"/>
      <c r="I59" s="1002">
        <f>+I58/M58</f>
        <v>0.42155382579416872</v>
      </c>
      <c r="J59" s="176"/>
      <c r="K59" s="2"/>
      <c r="L59" s="176"/>
      <c r="M59" s="1001"/>
    </row>
    <row r="60" spans="1:15" ht="18">
      <c r="A60" s="88"/>
      <c r="C60" s="992" t="s">
        <v>926</v>
      </c>
      <c r="D60" s="176"/>
      <c r="E60" s="1001"/>
      <c r="F60" s="176"/>
      <c r="G60" s="1001"/>
      <c r="H60" s="176"/>
      <c r="I60" s="1001"/>
      <c r="J60" s="176"/>
      <c r="K60" s="1001"/>
      <c r="L60" s="176"/>
      <c r="M60" s="1001"/>
    </row>
    <row r="61" spans="1:15" ht="18">
      <c r="A61" s="88">
        <f>+A59+1</f>
        <v>36</v>
      </c>
      <c r="C61" s="176" t="str">
        <f>"Percentage of Plant in "&amp;C60&amp;""</f>
        <v>Percentage of Plant in WEST VA JURISDICTION</v>
      </c>
      <c r="D61" s="176"/>
      <c r="E61" s="1004">
        <v>0.626702109421861</v>
      </c>
      <c r="F61" s="1002"/>
      <c r="G61" s="1004">
        <v>0.36824223838815401</v>
      </c>
      <c r="H61" s="1002"/>
      <c r="I61" s="1004">
        <v>0.4455368445672</v>
      </c>
      <c r="J61" s="1002"/>
      <c r="K61" s="1004">
        <v>0.40084304153891298</v>
      </c>
      <c r="L61" s="176"/>
      <c r="M61" s="1011"/>
    </row>
    <row r="62" spans="1:15" ht="18">
      <c r="A62" s="88">
        <f t="shared" ref="A62:A69" si="2">+A61+1</f>
        <v>37</v>
      </c>
      <c r="C62" s="999" t="str">
        <f>"Net Plant in "&amp;C60&amp;" (Ln "&amp;A48&amp;" * Ln "&amp;A61&amp;")"</f>
        <v>Net Plant in WEST VA JURISDICTION (Ln 25 * Ln 36)</v>
      </c>
      <c r="D62" s="2"/>
      <c r="E62" s="1001">
        <f>+E61*E48</f>
        <v>2167050194.2928376</v>
      </c>
      <c r="F62" s="176"/>
      <c r="G62" s="1001">
        <f>+G61*G48</f>
        <v>1511316392.3097992</v>
      </c>
      <c r="H62" s="176"/>
      <c r="I62" s="1001">
        <f>+I61*I48</f>
        <v>1716368319.6432011</v>
      </c>
      <c r="J62" s="176"/>
      <c r="K62" s="1001">
        <f>+K61*K48</f>
        <v>251078028.07340977</v>
      </c>
      <c r="L62" s="176"/>
      <c r="M62" s="1001">
        <f>SUM(E62:K62)</f>
        <v>5645812934.3192482</v>
      </c>
    </row>
    <row r="63" spans="1:15" ht="18">
      <c r="A63" s="88">
        <f t="shared" si="2"/>
        <v>38</v>
      </c>
      <c r="C63" s="999" t="s">
        <v>225</v>
      </c>
      <c r="D63" s="2"/>
      <c r="E63" s="1092">
        <v>1463003597</v>
      </c>
      <c r="F63" s="176"/>
      <c r="G63" s="1006"/>
      <c r="H63" s="176"/>
      <c r="I63" s="1006"/>
      <c r="J63" s="176"/>
      <c r="K63" s="1006"/>
      <c r="L63" s="176"/>
      <c r="M63" s="1001"/>
    </row>
    <row r="64" spans="1:15" ht="18">
      <c r="A64" s="88">
        <f t="shared" si="2"/>
        <v>39</v>
      </c>
      <c r="C64" s="176" t="str">
        <f>"Taxable Property Basis (Ln "&amp;A62&amp;" - Ln "&amp;A63&amp;")"</f>
        <v>Taxable Property Basis (Ln 37 - Ln 38)</v>
      </c>
      <c r="D64" s="2"/>
      <c r="E64" s="1001">
        <f>+E62-E63</f>
        <v>704046597.29283762</v>
      </c>
      <c r="F64" s="176"/>
      <c r="G64" s="1001">
        <f>+G62-G63</f>
        <v>1511316392.3097992</v>
      </c>
      <c r="H64" s="176"/>
      <c r="I64" s="1001">
        <f>+I62-I63</f>
        <v>1716368319.6432011</v>
      </c>
      <c r="J64" s="176"/>
      <c r="K64" s="1001">
        <f>+K62-K63</f>
        <v>251078028.07340977</v>
      </c>
      <c r="L64" s="176"/>
      <c r="M64" s="1001">
        <f>SUM(E64:K64)</f>
        <v>4182809337.3192477</v>
      </c>
    </row>
    <row r="65" spans="1:13" ht="18">
      <c r="A65" s="88">
        <f t="shared" si="2"/>
        <v>40</v>
      </c>
      <c r="C65" s="177" t="s">
        <v>461</v>
      </c>
      <c r="D65" s="2"/>
      <c r="E65" s="1004">
        <v>1</v>
      </c>
      <c r="F65" s="1002"/>
      <c r="G65" s="1004">
        <v>1</v>
      </c>
      <c r="H65" s="1002"/>
      <c r="I65" s="1004">
        <v>1</v>
      </c>
      <c r="J65" s="1002"/>
      <c r="K65" s="1004">
        <v>1</v>
      </c>
      <c r="L65" s="176"/>
      <c r="M65" s="1007">
        <f>SUM(E65:K65)</f>
        <v>4</v>
      </c>
    </row>
    <row r="66" spans="1:13" ht="18">
      <c r="A66" s="88">
        <f t="shared" si="2"/>
        <v>41</v>
      </c>
      <c r="C66" s="999" t="str">
        <f>"Weighted Net Plant (Ln "&amp;A64&amp;" * Ln "&amp;A65&amp;")"</f>
        <v>Weighted Net Plant (Ln 39 * Ln 40)</v>
      </c>
      <c r="D66" s="2"/>
      <c r="E66" s="1001">
        <f>+E64*E65</f>
        <v>704046597.29283762</v>
      </c>
      <c r="F66" s="176"/>
      <c r="G66" s="1001">
        <f>+G64*G65</f>
        <v>1511316392.3097992</v>
      </c>
      <c r="H66" s="176"/>
      <c r="I66" s="1001">
        <f>+I64*I65</f>
        <v>1716368319.6432011</v>
      </c>
      <c r="J66" s="176"/>
      <c r="K66" s="1001">
        <f>+K64*K65</f>
        <v>251078028.07340977</v>
      </c>
      <c r="L66" s="176"/>
      <c r="M66" s="1001"/>
    </row>
    <row r="67" spans="1:13" ht="18">
      <c r="A67" s="88">
        <f t="shared" si="2"/>
        <v>42</v>
      </c>
      <c r="C67" s="176" t="str">
        <f>+"General Plant Allocator (Ln "&amp;A66&amp;" / (Total - General Plant))"</f>
        <v>General Plant Allocator (Ln 41 / (Total - General Plant))</v>
      </c>
      <c r="D67" s="176"/>
      <c r="E67" s="1008">
        <f>IF(E65=0,0,+E66/($E66+$G66+$I66))</f>
        <v>0.17906783091642234</v>
      </c>
      <c r="F67" s="176"/>
      <c r="G67" s="1008">
        <f>IF(G65=0,0,+G66/($E66+$G66+$I66))</f>
        <v>0.38438954074908316</v>
      </c>
      <c r="H67" s="176"/>
      <c r="I67" s="1008">
        <f>IF(I65=0,0,+I66/($E66+$G66+$I66))</f>
        <v>0.43654262833449442</v>
      </c>
      <c r="J67" s="176"/>
      <c r="K67" s="1008">
        <v>-1</v>
      </c>
      <c r="L67" s="176"/>
      <c r="M67" s="176"/>
    </row>
    <row r="68" spans="1:13" ht="18">
      <c r="A68" s="88">
        <f t="shared" si="2"/>
        <v>43</v>
      </c>
      <c r="C68" s="176" t="str">
        <f>"Functionalized General Plant (Ln "&amp;A67&amp;" * General Plant)"</f>
        <v>Functionalized General Plant (Ln 42 * General Plant)</v>
      </c>
      <c r="D68" s="176"/>
      <c r="E68" s="1009">
        <f>ROUND($K66*E67,0)</f>
        <v>44959998</v>
      </c>
      <c r="F68" s="176"/>
      <c r="G68" s="1009">
        <f>+G67*K66</f>
        <v>96511767.903323382</v>
      </c>
      <c r="H68" s="176"/>
      <c r="I68" s="1009">
        <f>ROUND($K66*I67,0)</f>
        <v>109606262</v>
      </c>
      <c r="J68" s="176"/>
      <c r="K68" s="1009">
        <f>ROUND($K66*K67,0)</f>
        <v>-251078028</v>
      </c>
      <c r="L68" s="176"/>
      <c r="M68" s="1001">
        <f>IF(SUM(E68:K68)&lt;&gt;0,0,0)</f>
        <v>0</v>
      </c>
    </row>
    <row r="69" spans="1:13" ht="18">
      <c r="A69" s="88">
        <f t="shared" si="2"/>
        <v>44</v>
      </c>
      <c r="C69" s="176" t="str">
        <f>"Weighted "&amp;C60&amp;" Plant (Ln "&amp;A66&amp;" + "&amp;A68&amp;")"</f>
        <v>Weighted WEST VA JURISDICTION Plant (Ln 41 + 43)</v>
      </c>
      <c r="D69" s="176"/>
      <c r="E69" s="1001">
        <f>+E66+E68</f>
        <v>749006595.29283762</v>
      </c>
      <c r="F69" s="176"/>
      <c r="G69" s="1001">
        <f>+G66+G68</f>
        <v>1607828160.2131226</v>
      </c>
      <c r="H69" s="176"/>
      <c r="I69" s="1001">
        <f>+I66+I68</f>
        <v>1825974581.6432011</v>
      </c>
      <c r="J69" s="176"/>
      <c r="K69" s="1001">
        <f>+K66+K68</f>
        <v>7.3409765958786011E-2</v>
      </c>
      <c r="L69" s="176"/>
      <c r="M69" s="1001">
        <f>SUM(E69:K69)-SUM(E68:K68)</f>
        <v>4182809337.3192477</v>
      </c>
    </row>
    <row r="70" spans="1:13" ht="18">
      <c r="A70" s="88">
        <f>+A69+1</f>
        <v>45</v>
      </c>
      <c r="C70" s="176" t="str">
        <f>"Functional Percentage (Ln "&amp;A69&amp;"/Total Ln "&amp;A69&amp;")"</f>
        <v>Functional Percentage (Ln 44/Total Ln 44)</v>
      </c>
      <c r="D70" s="176"/>
      <c r="E70" s="1002">
        <f>+E69/M69</f>
        <v>0.17906783094561851</v>
      </c>
      <c r="F70" s="176"/>
      <c r="G70" s="1010">
        <f>+G69/M69</f>
        <v>0.38438954074908316</v>
      </c>
      <c r="H70" s="176"/>
      <c r="I70" s="1002">
        <f>+I69/M69</f>
        <v>0.43654262826463514</v>
      </c>
      <c r="J70" s="176"/>
      <c r="K70" s="2"/>
      <c r="L70" s="176"/>
      <c r="M70" s="1001"/>
    </row>
    <row r="71" spans="1:13" ht="18">
      <c r="A71" s="88"/>
      <c r="C71" s="992" t="s">
        <v>980</v>
      </c>
      <c r="D71" s="176"/>
      <c r="E71" s="1012"/>
      <c r="F71" s="1013"/>
      <c r="G71" s="1014"/>
      <c r="H71" s="1013"/>
      <c r="I71" s="1012"/>
      <c r="J71" s="1013"/>
      <c r="K71" s="1015"/>
      <c r="L71" s="176"/>
      <c r="M71" s="1001"/>
    </row>
    <row r="72" spans="1:13" ht="18">
      <c r="A72" s="88">
        <f>+A70+1</f>
        <v>46</v>
      </c>
      <c r="C72" s="176" t="str">
        <f>"Net Plant in "&amp;C71&amp;" (Ln "&amp;A48&amp;" - Ln "&amp;A51&amp;" - Ln "&amp;A62&amp;")"</f>
        <v>Net Plant in TENNESSEE JURISDICTION (Ln 25 - Ln 27 - Ln 37)</v>
      </c>
      <c r="D72" s="176"/>
      <c r="E72" s="1012">
        <f>+E48-E51-E62</f>
        <v>832173257.21600962</v>
      </c>
      <c r="F72" s="1013"/>
      <c r="G72" s="1012">
        <f>+G48-G51-G62</f>
        <v>86018848.39133215</v>
      </c>
      <c r="H72" s="1013"/>
      <c r="I72" s="1012">
        <f>+I48-I51-I62</f>
        <v>29775.8553211689</v>
      </c>
      <c r="J72" s="1013"/>
      <c r="K72" s="1012">
        <f>+K48-K51-K62</f>
        <v>345367.55670467019</v>
      </c>
      <c r="L72" s="176"/>
      <c r="M72" s="1001">
        <f>SUM(E72:K72)</f>
        <v>918567249.01936758</v>
      </c>
    </row>
    <row r="73" spans="1:13" ht="18">
      <c r="A73" s="88">
        <f t="shared" ref="A73:A79" si="3">+A72+1</f>
        <v>47</v>
      </c>
      <c r="C73" s="176" t="s">
        <v>596</v>
      </c>
      <c r="D73" s="176"/>
      <c r="E73" s="1005"/>
      <c r="F73" s="1013"/>
      <c r="G73" s="1016"/>
      <c r="H73" s="1013"/>
      <c r="I73" s="1016"/>
      <c r="J73" s="1013"/>
      <c r="K73" s="1016"/>
      <c r="L73" s="176"/>
      <c r="M73" s="1001"/>
    </row>
    <row r="74" spans="1:13" ht="18">
      <c r="A74" s="88">
        <f t="shared" si="3"/>
        <v>48</v>
      </c>
      <c r="C74" s="176" t="s">
        <v>597</v>
      </c>
      <c r="D74" s="176"/>
      <c r="E74" s="1012">
        <f>+E72-E73</f>
        <v>832173257.21600962</v>
      </c>
      <c r="F74" s="1013"/>
      <c r="G74" s="1012">
        <f>+G72-G73</f>
        <v>86018848.39133215</v>
      </c>
      <c r="H74" s="1013"/>
      <c r="I74" s="1012">
        <f>+I72-I73</f>
        <v>29775.8553211689</v>
      </c>
      <c r="J74" s="1013"/>
      <c r="K74" s="1012">
        <f>+K72-K73</f>
        <v>345367.55670467019</v>
      </c>
      <c r="L74" s="176"/>
      <c r="M74" s="1001">
        <f>SUM(E74:K74)</f>
        <v>918567249.01936758</v>
      </c>
    </row>
    <row r="75" spans="1:13" ht="18">
      <c r="A75" s="88">
        <f t="shared" si="3"/>
        <v>49</v>
      </c>
      <c r="C75" s="177" t="s">
        <v>461</v>
      </c>
      <c r="D75" s="176"/>
      <c r="E75" s="1004">
        <v>1</v>
      </c>
      <c r="F75" s="1002"/>
      <c r="G75" s="1004">
        <v>1</v>
      </c>
      <c r="H75" s="1002"/>
      <c r="I75" s="1004">
        <v>1</v>
      </c>
      <c r="J75" s="1002"/>
      <c r="K75" s="1004">
        <v>1</v>
      </c>
      <c r="L75" s="176"/>
      <c r="M75" s="1001"/>
    </row>
    <row r="76" spans="1:13" ht="18">
      <c r="A76" s="88">
        <f t="shared" si="3"/>
        <v>50</v>
      </c>
      <c r="C76" s="176" t="str">
        <f>"Weighted Net Plant (Ln "&amp;A74&amp;" * Ln "&amp;A75&amp;")"</f>
        <v>Weighted Net Plant (Ln 48 * Ln 49)</v>
      </c>
      <c r="D76" s="176"/>
      <c r="E76" s="1012">
        <f>+E74*E75</f>
        <v>832173257.21600962</v>
      </c>
      <c r="F76" s="1013"/>
      <c r="G76" s="1012">
        <f>+G74*G75</f>
        <v>86018848.39133215</v>
      </c>
      <c r="H76" s="1013"/>
      <c r="I76" s="1012">
        <f>+I74*I75</f>
        <v>29775.8553211689</v>
      </c>
      <c r="J76" s="1013"/>
      <c r="K76" s="1012">
        <f>+K74*K75</f>
        <v>345367.55670467019</v>
      </c>
      <c r="L76" s="176"/>
      <c r="M76" s="1001"/>
    </row>
    <row r="77" spans="1:13" ht="18">
      <c r="A77" s="88">
        <f t="shared" si="3"/>
        <v>51</v>
      </c>
      <c r="C77" s="176" t="str">
        <f>+"General Plant Allocator (Ln "&amp;A76&amp;" / (Total - General Plant)"</f>
        <v>General Plant Allocator (Ln 50 / (Total - General Plant)</v>
      </c>
      <c r="D77" s="176"/>
      <c r="E77" s="1017">
        <f>IF(E75=0,0,+E76/($E76+$G76+$I76))</f>
        <v>0.90628776553485757</v>
      </c>
      <c r="F77" s="1013"/>
      <c r="G77" s="1017">
        <f>IF(G75=0,0,+G76/($E76+$G76+$I76))</f>
        <v>9.3679806730711065E-2</v>
      </c>
      <c r="H77" s="1013"/>
      <c r="I77" s="1017">
        <f>IF(I75=0,0,+I76/($E76+$G76+$I76))</f>
        <v>3.2427734431396964E-5</v>
      </c>
      <c r="J77" s="1013"/>
      <c r="K77" s="1017">
        <v>-1</v>
      </c>
      <c r="L77" s="176"/>
      <c r="M77" s="1001"/>
    </row>
    <row r="78" spans="1:13" ht="18">
      <c r="A78" s="88">
        <f t="shared" si="3"/>
        <v>52</v>
      </c>
      <c r="C78" s="176" t="str">
        <f>"Functionalized General Plant (Ln "&amp;A78&amp;" * General Plant)"</f>
        <v>Functionalized General Plant (Ln 52 * General Plant)</v>
      </c>
      <c r="D78" s="176"/>
      <c r="E78" s="1018">
        <f>ROUND($K76*E77,0)</f>
        <v>313002</v>
      </c>
      <c r="F78" s="1013"/>
      <c r="G78" s="1018">
        <f>ROUND($K76*G77,0)</f>
        <v>32354</v>
      </c>
      <c r="H78" s="1013"/>
      <c r="I78" s="1018">
        <f>ROUND($K76*I77,0)</f>
        <v>11</v>
      </c>
      <c r="J78" s="1013"/>
      <c r="K78" s="1018">
        <f>ROUND($K76*K77,0)</f>
        <v>-345368</v>
      </c>
      <c r="L78" s="176"/>
      <c r="M78" s="1001"/>
    </row>
    <row r="79" spans="1:13" ht="18">
      <c r="A79" s="88">
        <f t="shared" si="3"/>
        <v>53</v>
      </c>
      <c r="C79" s="176" t="str">
        <f>"Weighted "&amp;C71&amp;" Plant (Ln "&amp;A76&amp;" + "&amp;A78&amp;")"</f>
        <v>Weighted TENNESSEE JURISDICTION Plant (Ln 50 + 52)</v>
      </c>
      <c r="D79" s="176"/>
      <c r="E79" s="1012">
        <f>+E76+E78</f>
        <v>832486259.21600962</v>
      </c>
      <c r="F79" s="1013"/>
      <c r="G79" s="1012">
        <f>+G76+G78</f>
        <v>86051202.39133215</v>
      </c>
      <c r="H79" s="1013"/>
      <c r="I79" s="1012">
        <f>+I76+I78</f>
        <v>29786.8553211689</v>
      </c>
      <c r="J79" s="1013"/>
      <c r="K79" s="1012">
        <f>+K76+K78</f>
        <v>-0.44329532980918884</v>
      </c>
      <c r="L79" s="176"/>
      <c r="M79" s="1001">
        <f>SUM(E79:K79)-SUM(E78:K78)</f>
        <v>918567249.01936758</v>
      </c>
    </row>
    <row r="80" spans="1:13" ht="18">
      <c r="A80" s="88">
        <f>+A79+1</f>
        <v>54</v>
      </c>
      <c r="C80" s="176" t="str">
        <f>"Functional Percentage (Ln "&amp;A79&amp;"/Total Ln "&amp;A79&amp;")"</f>
        <v>Functional Percentage (Ln 53/Total Ln 53)</v>
      </c>
      <c r="D80" s="176"/>
      <c r="E80" s="1015">
        <f>+E79/M79</f>
        <v>0.90628776510891806</v>
      </c>
      <c r="F80" s="1013"/>
      <c r="G80" s="1014">
        <f>+G79/M79</f>
        <v>9.3679806767765356E-2</v>
      </c>
      <c r="H80" s="1013"/>
      <c r="I80" s="1015">
        <f>+I79/M79</f>
        <v>3.2427517259044861E-5</v>
      </c>
      <c r="J80" s="241"/>
      <c r="K80" s="241"/>
      <c r="L80" s="176"/>
      <c r="M80" s="1001"/>
    </row>
    <row r="82" spans="1:13" ht="18" hidden="1">
      <c r="A82" s="88">
        <f>+A80+1</f>
        <v>55</v>
      </c>
      <c r="C82" s="87" t="s">
        <v>979</v>
      </c>
      <c r="D82" s="87"/>
      <c r="E82" s="1019">
        <f>+E48-E51-E62-E72</f>
        <v>0</v>
      </c>
      <c r="F82" s="1020"/>
      <c r="G82" s="1021">
        <f>M82*TCOS!J100</f>
        <v>1819955.9273086938</v>
      </c>
      <c r="H82" s="1020"/>
      <c r="I82" s="1019">
        <f>+I48-I51-I62-I72</f>
        <v>0</v>
      </c>
      <c r="J82" s="1020"/>
      <c r="K82" s="1019">
        <f>+K48-K51-K62-K72</f>
        <v>0</v>
      </c>
      <c r="L82" s="87"/>
      <c r="M82" s="1022">
        <f>G23</f>
        <v>5317309.04</v>
      </c>
    </row>
  </sheetData>
  <mergeCells count="7">
    <mergeCell ref="A8:M8"/>
    <mergeCell ref="A7:M7"/>
    <mergeCell ref="C46:M46"/>
    <mergeCell ref="A3:M3"/>
    <mergeCell ref="A4:M4"/>
    <mergeCell ref="A5:M5"/>
    <mergeCell ref="A6:M6"/>
  </mergeCells>
  <phoneticPr fontId="73" type="noConversion"/>
  <pageMargins left="0.59" right="0.84" top="1" bottom="1" header="0.75" footer="0.5"/>
  <pageSetup orientation="portrait" r:id="rId1"/>
  <headerFooter alignWithMargins="0">
    <oddHeader>&amp;R&amp;"Arial,Bold"Formula Rate 
&amp;A
Page &amp;P of &amp;N</oddHeader>
  </headerFooter>
  <colBreaks count="1" manualBreakCount="1">
    <brk id="13" min="2" max="90"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dimension ref="A1:N161"/>
  <sheetViews>
    <sheetView tabSelected="1" view="pageBreakPreview" topLeftCell="A45" zoomScale="70" zoomScaleNormal="70" zoomScaleSheetLayoutView="70" workbookViewId="0">
      <selection activeCell="F7" sqref="F7"/>
    </sheetView>
  </sheetViews>
  <sheetFormatPr defaultColWidth="9.140625" defaultRowHeight="12.75"/>
  <cols>
    <col min="1" max="1" width="7.42578125" style="97" customWidth="1"/>
    <col min="2" max="2" width="1.5703125" style="86" customWidth="1"/>
    <col min="3" max="3" width="68.5703125" style="86" customWidth="1"/>
    <col min="4" max="4" width="19.140625" style="86" customWidth="1"/>
    <col min="5" max="5" width="20.42578125" style="93" customWidth="1"/>
    <col min="6" max="6" width="20.42578125" style="86" bestFit="1" customWidth="1"/>
    <col min="7" max="7" width="40.42578125" style="86" bestFit="1" customWidth="1"/>
    <col min="8" max="8" width="13" style="86" bestFit="1" customWidth="1"/>
    <col min="9" max="9" width="34" style="86" customWidth="1"/>
    <col min="10" max="10" width="10.85546875" style="86" bestFit="1" customWidth="1"/>
    <col min="11" max="16384" width="9.140625" style="86"/>
  </cols>
  <sheetData>
    <row r="1" spans="1:14" ht="15.75">
      <c r="A1" s="665" t="s">
        <v>114</v>
      </c>
    </row>
    <row r="2" spans="1:14" ht="15.75">
      <c r="A2" s="665" t="s">
        <v>114</v>
      </c>
    </row>
    <row r="3" spans="1:14" ht="18.75" customHeight="1">
      <c r="A3" s="1257" t="s">
        <v>387</v>
      </c>
      <c r="B3" s="1257"/>
      <c r="C3" s="1257"/>
      <c r="D3" s="1257"/>
      <c r="E3" s="1257"/>
      <c r="F3" s="1257"/>
    </row>
    <row r="4" spans="1:14" ht="18.75" customHeight="1">
      <c r="A4" s="1258" t="str">
        <f>"Cost of Service Formula Rate Using Actual/Projected FF1 Balances"</f>
        <v>Cost of Service Formula Rate Using Actual/Projected FF1 Balances</v>
      </c>
      <c r="B4" s="1258"/>
      <c r="C4" s="1258"/>
      <c r="D4" s="1258"/>
      <c r="E4" s="1258"/>
      <c r="F4" s="1258"/>
    </row>
    <row r="5" spans="1:14" ht="18.75" customHeight="1">
      <c r="A5" s="1258" t="s">
        <v>217</v>
      </c>
      <c r="B5" s="1258"/>
      <c r="C5" s="1258"/>
      <c r="D5" s="1258"/>
      <c r="E5" s="1258"/>
      <c r="F5" s="1258"/>
    </row>
    <row r="6" spans="1:14" ht="18" customHeight="1">
      <c r="A6" s="1259" t="str">
        <f>TCOS!F9</f>
        <v>Appalachian Power Company</v>
      </c>
      <c r="B6" s="1258"/>
      <c r="C6" s="1258"/>
      <c r="D6" s="1258"/>
      <c r="E6" s="1258"/>
      <c r="F6" s="1258"/>
    </row>
    <row r="7" spans="1:14" ht="18" customHeight="1">
      <c r="A7" s="1263"/>
      <c r="B7" s="1263"/>
      <c r="C7" s="1263"/>
      <c r="D7" s="1263"/>
      <c r="E7" s="1263"/>
      <c r="F7" s="1263"/>
    </row>
    <row r="8" spans="1:14" ht="19.5" customHeight="1">
      <c r="A8" s="88"/>
      <c r="B8" s="87"/>
      <c r="C8" s="25" t="s">
        <v>162</v>
      </c>
      <c r="E8" s="25" t="s">
        <v>163</v>
      </c>
      <c r="F8" s="25" t="s">
        <v>164</v>
      </c>
      <c r="G8" s="25" t="s">
        <v>165</v>
      </c>
    </row>
    <row r="9" spans="1:14" ht="18">
      <c r="A9" s="161"/>
      <c r="B9" s="162"/>
      <c r="C9" s="162"/>
      <c r="D9" s="162"/>
      <c r="E9"/>
      <c r="F9"/>
      <c r="G9" s="28"/>
      <c r="H9" s="28"/>
      <c r="I9" s="28"/>
      <c r="J9" s="28"/>
      <c r="K9" s="28"/>
      <c r="L9" s="28"/>
      <c r="M9" s="28"/>
      <c r="N9" s="28"/>
    </row>
    <row r="10" spans="1:14" ht="18">
      <c r="A10" s="161" t="s">
        <v>169</v>
      </c>
      <c r="B10" s="162"/>
      <c r="C10" s="162"/>
      <c r="D10" s="162"/>
      <c r="E10" s="163" t="s">
        <v>118</v>
      </c>
      <c r="F10" s="161" t="s">
        <v>76</v>
      </c>
    </row>
    <row r="11" spans="1:14" ht="18">
      <c r="A11" s="165" t="s">
        <v>117</v>
      </c>
      <c r="B11" s="205"/>
      <c r="C11" s="165" t="s">
        <v>30</v>
      </c>
      <c r="D11" s="809"/>
      <c r="E11" s="166" t="s">
        <v>183</v>
      </c>
      <c r="F11" s="165" t="s">
        <v>77</v>
      </c>
      <c r="G11" s="166" t="s">
        <v>78</v>
      </c>
      <c r="H11" s="809"/>
      <c r="I11" s="809"/>
    </row>
    <row r="12" spans="1:14" ht="18">
      <c r="A12" s="88"/>
      <c r="B12" s="87"/>
      <c r="C12" s="85"/>
      <c r="D12" s="85"/>
      <c r="E12" s="85"/>
      <c r="F12" s="161"/>
      <c r="G12" s="163"/>
      <c r="I12" s="810"/>
    </row>
    <row r="13" spans="1:14" ht="18">
      <c r="A13" s="88"/>
      <c r="B13" s="87"/>
      <c r="C13" s="87"/>
      <c r="D13" s="87"/>
      <c r="E13" s="89"/>
      <c r="F13" s="85"/>
    </row>
    <row r="14" spans="1:14" ht="19.5">
      <c r="A14" s="88">
        <v>1</v>
      </c>
      <c r="B14" s="87"/>
      <c r="C14" s="90" t="s">
        <v>323</v>
      </c>
      <c r="D14" s="87"/>
      <c r="E14" s="84"/>
      <c r="F14" s="87"/>
    </row>
    <row r="15" spans="1:14" ht="19.5">
      <c r="A15" s="88">
        <f>+A14+1</f>
        <v>2</v>
      </c>
      <c r="B15" s="87"/>
      <c r="C15" s="84" t="s">
        <v>307</v>
      </c>
      <c r="D15"/>
      <c r="E15" s="91">
        <f>SUM(F16:F19)</f>
        <v>17001</v>
      </c>
      <c r="F15" s="84"/>
    </row>
    <row r="16" spans="1:14" ht="19.5">
      <c r="A16" s="88"/>
      <c r="B16" s="87"/>
      <c r="C16" s="92"/>
      <c r="D16"/>
      <c r="E16" s="84"/>
      <c r="F16" s="638">
        <v>17001</v>
      </c>
      <c r="G16" s="639" t="s">
        <v>1234</v>
      </c>
    </row>
    <row r="17" spans="1:9" ht="19.5">
      <c r="A17" s="88"/>
      <c r="B17" s="87"/>
      <c r="C17" s="92"/>
      <c r="D17"/>
      <c r="E17" s="84"/>
      <c r="F17" s="638"/>
      <c r="G17" s="639"/>
    </row>
    <row r="18" spans="1:9" ht="19.5">
      <c r="A18" s="88"/>
      <c r="B18" s="87"/>
      <c r="C18" s="92"/>
      <c r="D18"/>
      <c r="E18" s="84"/>
      <c r="F18" s="638"/>
      <c r="G18" s="639"/>
    </row>
    <row r="19" spans="1:9" ht="18" customHeight="1">
      <c r="A19" s="88"/>
      <c r="B19" s="87"/>
      <c r="C19" s="92"/>
      <c r="D19"/>
      <c r="E19" s="84"/>
      <c r="F19" s="638"/>
      <c r="G19" s="639"/>
    </row>
    <row r="20" spans="1:9" ht="18" customHeight="1">
      <c r="A20" s="88"/>
      <c r="B20" s="87"/>
      <c r="C20" s="92"/>
      <c r="D20"/>
      <c r="E20" s="84"/>
      <c r="F20" s="638"/>
      <c r="G20" s="639"/>
    </row>
    <row r="21" spans="1:9" ht="18" customHeight="1">
      <c r="A21" s="88"/>
      <c r="B21" s="87"/>
      <c r="C21" s="92"/>
      <c r="D21"/>
      <c r="E21" s="84"/>
      <c r="F21" s="667"/>
      <c r="G21" s="668"/>
    </row>
    <row r="22" spans="1:9" ht="18" customHeight="1">
      <c r="A22" s="88"/>
      <c r="B22" s="87"/>
      <c r="C22" s="25" t="s">
        <v>162</v>
      </c>
      <c r="D22" s="25" t="s">
        <v>163</v>
      </c>
      <c r="E22" s="25" t="s">
        <v>164</v>
      </c>
      <c r="F22" s="25" t="s">
        <v>165</v>
      </c>
      <c r="G22" s="25" t="s">
        <v>84</v>
      </c>
      <c r="H22" s="834" t="s">
        <v>85</v>
      </c>
      <c r="I22" s="25" t="s">
        <v>86</v>
      </c>
    </row>
    <row r="23" spans="1:9" ht="58.5" customHeight="1">
      <c r="A23" s="165"/>
      <c r="B23" s="205"/>
      <c r="C23" s="835" t="s">
        <v>752</v>
      </c>
      <c r="D23" s="836" t="s">
        <v>670</v>
      </c>
      <c r="E23" s="837" t="s">
        <v>750</v>
      </c>
      <c r="F23" s="838" t="s">
        <v>751</v>
      </c>
      <c r="G23" s="839" t="s">
        <v>78</v>
      </c>
      <c r="H23" s="837" t="s">
        <v>815</v>
      </c>
      <c r="I23" s="838" t="s">
        <v>749</v>
      </c>
    </row>
    <row r="24" spans="1:9" ht="19.5">
      <c r="A24" s="88"/>
      <c r="B24" s="87"/>
      <c r="C24" s="92"/>
      <c r="D24" s="4"/>
      <c r="E24" s="84"/>
      <c r="F24" s="91"/>
      <c r="G24" s="206"/>
    </row>
    <row r="25" spans="1:9" ht="39">
      <c r="A25" s="801">
        <f>+A15+1</f>
        <v>3</v>
      </c>
      <c r="B25" s="802"/>
      <c r="C25" s="833" t="s">
        <v>748</v>
      </c>
      <c r="D25" s="840"/>
      <c r="E25" s="982">
        <f>E27+E36+E55+E61</f>
        <v>93753349.520000011</v>
      </c>
      <c r="F25" s="841"/>
      <c r="G25" s="1172"/>
      <c r="H25" s="842"/>
      <c r="I25" s="982">
        <f>I27+I36+I55+I61</f>
        <v>37102704.476715855</v>
      </c>
    </row>
    <row r="26" spans="1:9" ht="19.5">
      <c r="A26" s="88"/>
      <c r="B26" s="87"/>
      <c r="C26" s="90"/>
      <c r="D26"/>
      <c r="E26" s="84"/>
      <c r="F26" s="207"/>
      <c r="G26" s="206"/>
      <c r="H26" s="803"/>
      <c r="I26" s="804"/>
    </row>
    <row r="27" spans="1:9" ht="19.5">
      <c r="A27" s="88">
        <f>+A25+1</f>
        <v>4</v>
      </c>
      <c r="B27" s="87"/>
      <c r="C27" s="805" t="s">
        <v>598</v>
      </c>
      <c r="D27"/>
      <c r="E27" s="91">
        <f>SUM(F28:F35)</f>
        <v>57951011.379999995</v>
      </c>
      <c r="F27" s="207"/>
      <c r="G27" s="206"/>
      <c r="H27" s="87"/>
      <c r="I27" s="800">
        <f>SUM(I28:I35)</f>
        <v>21016966.63639513</v>
      </c>
    </row>
    <row r="28" spans="1:9" ht="19.5">
      <c r="A28" s="88"/>
      <c r="B28" s="87"/>
      <c r="C28" s="805"/>
      <c r="D28" s="989">
        <v>2021</v>
      </c>
      <c r="E28" s="91"/>
      <c r="F28" s="638">
        <v>14.32</v>
      </c>
      <c r="G28" s="639" t="s">
        <v>635</v>
      </c>
      <c r="H28" s="798">
        <v>0.35857524575717609</v>
      </c>
      <c r="I28" s="846">
        <f>+F28*H28</f>
        <v>5.1347975192427615</v>
      </c>
    </row>
    <row r="29" spans="1:9" ht="19.5">
      <c r="A29" s="88"/>
      <c r="B29" s="87"/>
      <c r="C29" s="805"/>
      <c r="D29" s="989">
        <v>2022</v>
      </c>
      <c r="E29" s="91"/>
      <c r="F29" s="638">
        <v>13.56</v>
      </c>
      <c r="G29" s="639" t="s">
        <v>635</v>
      </c>
      <c r="H29" s="798">
        <v>0.37538970544273476</v>
      </c>
      <c r="I29" s="846">
        <f>+F29*H29</f>
        <v>5.0902844058034837</v>
      </c>
    </row>
    <row r="30" spans="1:9" ht="19.5">
      <c r="A30" s="88"/>
      <c r="B30" s="87"/>
      <c r="C30" s="805"/>
      <c r="D30" s="989">
        <v>2023</v>
      </c>
      <c r="E30" s="91"/>
      <c r="F30" s="638">
        <v>28183445.32</v>
      </c>
      <c r="G30" s="639" t="s">
        <v>635</v>
      </c>
      <c r="H30" s="798">
        <v>0.3561346095967477</v>
      </c>
      <c r="I30" s="846">
        <f t="shared" ref="I30:I31" si="0">+F30*H30</f>
        <v>10037100.296129486</v>
      </c>
    </row>
    <row r="31" spans="1:9" ht="19.5">
      <c r="A31" s="88"/>
      <c r="B31" s="87"/>
      <c r="C31" s="805"/>
      <c r="D31" s="989">
        <v>2024</v>
      </c>
      <c r="E31" s="91"/>
      <c r="F31" s="638">
        <v>29521167.18</v>
      </c>
      <c r="G31" s="639" t="s">
        <v>635</v>
      </c>
      <c r="H31" s="798">
        <v>0.368723689455419</v>
      </c>
      <c r="I31" s="846">
        <f t="shared" si="0"/>
        <v>10885153.679639827</v>
      </c>
    </row>
    <row r="32" spans="1:9" ht="19.5">
      <c r="A32" s="88"/>
      <c r="B32" s="87"/>
      <c r="C32" s="805"/>
      <c r="D32" s="989">
        <v>2025</v>
      </c>
      <c r="E32" s="91"/>
      <c r="F32" s="638">
        <v>246371</v>
      </c>
      <c r="G32" s="639" t="s">
        <v>635</v>
      </c>
      <c r="H32" s="798">
        <f>'WS H Other Taxes'!$G$70</f>
        <v>0.38438954074908316</v>
      </c>
      <c r="I32" s="846">
        <f>+F32*H32</f>
        <v>94702.435543892367</v>
      </c>
    </row>
    <row r="33" spans="1:9" ht="19.5">
      <c r="A33" s="88"/>
      <c r="B33" s="87"/>
      <c r="C33" s="805"/>
      <c r="D33" s="989"/>
      <c r="E33" s="91"/>
      <c r="F33" s="638"/>
      <c r="G33" s="639"/>
      <c r="H33" s="798"/>
      <c r="I33" s="846">
        <f>+F33*H33</f>
        <v>0</v>
      </c>
    </row>
    <row r="34" spans="1:9" ht="19.5">
      <c r="A34" s="88"/>
      <c r="B34" s="87"/>
      <c r="C34" s="805"/>
      <c r="D34" s="989"/>
      <c r="E34" s="91"/>
      <c r="F34" s="638"/>
      <c r="G34" s="639"/>
      <c r="H34" s="798"/>
      <c r="I34" s="846">
        <f t="shared" ref="I34:I48" si="1">F34*H34</f>
        <v>0</v>
      </c>
    </row>
    <row r="35" spans="1:9" ht="19.5">
      <c r="A35" s="88"/>
      <c r="B35" s="87"/>
      <c r="C35" s="805"/>
      <c r="D35" s="638"/>
      <c r="E35" s="91"/>
      <c r="F35" s="638"/>
      <c r="G35" s="639"/>
      <c r="H35" s="798"/>
      <c r="I35" s="846">
        <f t="shared" si="1"/>
        <v>0</v>
      </c>
    </row>
    <row r="36" spans="1:9" ht="19.5">
      <c r="A36" s="88">
        <f>+A27+1</f>
        <v>5</v>
      </c>
      <c r="B36" s="87"/>
      <c r="C36" s="805" t="s">
        <v>599</v>
      </c>
      <c r="D36"/>
      <c r="E36" s="91">
        <f>SUM(F37:F53)</f>
        <v>29425064.98</v>
      </c>
      <c r="F36" s="91"/>
      <c r="G36" s="206"/>
      <c r="I36" s="846">
        <f>SUM(I37:I53)</f>
        <v>14558387.463252867</v>
      </c>
    </row>
    <row r="37" spans="1:9" ht="19.5">
      <c r="A37" s="88"/>
      <c r="B37" s="87"/>
      <c r="C37" s="805"/>
      <c r="D37" s="989">
        <v>2019</v>
      </c>
      <c r="E37" s="91"/>
      <c r="F37" s="638">
        <v>6793.33</v>
      </c>
      <c r="G37" s="639" t="s">
        <v>635</v>
      </c>
      <c r="H37" s="799">
        <v>0.4607</v>
      </c>
      <c r="I37" s="846">
        <f>F37*H37</f>
        <v>3129.6871310000001</v>
      </c>
    </row>
    <row r="38" spans="1:9" ht="19.5">
      <c r="A38" s="88"/>
      <c r="B38" s="87"/>
      <c r="C38" s="805"/>
      <c r="D38" s="989">
        <v>2020</v>
      </c>
      <c r="E38" s="91"/>
      <c r="F38" s="638">
        <v>7536.3499999999995</v>
      </c>
      <c r="G38" s="639" t="s">
        <v>635</v>
      </c>
      <c r="H38" s="798">
        <v>0.48421031115266094</v>
      </c>
      <c r="I38" s="846">
        <f>F38*H38</f>
        <v>3649.1783784553559</v>
      </c>
    </row>
    <row r="39" spans="1:9" ht="19.5">
      <c r="A39" s="88"/>
      <c r="B39" s="87"/>
      <c r="C39" s="805"/>
      <c r="D39" s="989">
        <v>2021</v>
      </c>
      <c r="E39" s="91"/>
      <c r="F39" s="638">
        <v>7452.58</v>
      </c>
      <c r="G39" s="639" t="s">
        <v>635</v>
      </c>
      <c r="H39" s="798">
        <v>0.48421031115266094</v>
      </c>
      <c r="I39" s="846">
        <f>F39*H39</f>
        <v>3608.616080690098</v>
      </c>
    </row>
    <row r="40" spans="1:9" ht="19.5">
      <c r="A40" s="88"/>
      <c r="B40" s="87"/>
      <c r="C40" s="805"/>
      <c r="D40" s="989">
        <v>2022</v>
      </c>
      <c r="E40" s="91"/>
      <c r="F40" s="638">
        <v>0</v>
      </c>
      <c r="G40" s="639" t="s">
        <v>635</v>
      </c>
      <c r="H40" s="799">
        <v>0.47488320539009304</v>
      </c>
      <c r="I40" s="846">
        <f t="shared" si="1"/>
        <v>0</v>
      </c>
    </row>
    <row r="41" spans="1:9" ht="19.5">
      <c r="A41" s="88"/>
      <c r="B41" s="87"/>
      <c r="C41" s="805"/>
      <c r="D41" s="989">
        <v>2023</v>
      </c>
      <c r="E41" s="91"/>
      <c r="F41" s="638">
        <v>5804.92</v>
      </c>
      <c r="G41" s="639" t="s">
        <v>635</v>
      </c>
      <c r="H41" s="799">
        <v>0.4960606130305692</v>
      </c>
      <c r="I41" s="846">
        <f t="shared" si="1"/>
        <v>2879.5921737934118</v>
      </c>
    </row>
    <row r="42" spans="1:9" ht="19.5">
      <c r="A42" s="88"/>
      <c r="B42" s="87"/>
      <c r="C42" s="805"/>
      <c r="D42" s="989">
        <v>2024</v>
      </c>
      <c r="E42" s="91"/>
      <c r="F42" s="638">
        <v>-511879.2</v>
      </c>
      <c r="G42" s="639" t="s">
        <v>635</v>
      </c>
      <c r="H42" s="799">
        <v>0.49292244110506472</v>
      </c>
      <c r="I42" s="846">
        <f t="shared" si="1"/>
        <v>-252316.74481490767</v>
      </c>
    </row>
    <row r="43" spans="1:9" ht="19.5">
      <c r="A43" s="88"/>
      <c r="B43" s="87"/>
      <c r="C43" s="805"/>
      <c r="D43" s="989">
        <v>2025</v>
      </c>
      <c r="E43" s="91"/>
      <c r="F43" s="638">
        <v>29909357</v>
      </c>
      <c r="G43" s="639" t="s">
        <v>635</v>
      </c>
      <c r="H43" s="799">
        <f>'WS H Other Taxes'!$G$59</f>
        <v>0.49474273667280227</v>
      </c>
      <c r="I43" s="846">
        <f t="shared" si="1"/>
        <v>14797437.134303836</v>
      </c>
    </row>
    <row r="44" spans="1:9" ht="19.5">
      <c r="A44" s="88"/>
      <c r="B44" s="87"/>
      <c r="C44" s="805"/>
      <c r="D44" s="989"/>
      <c r="E44" s="91"/>
      <c r="F44" s="638"/>
      <c r="G44" s="639"/>
      <c r="H44" s="799"/>
      <c r="I44" s="846">
        <f t="shared" si="1"/>
        <v>0</v>
      </c>
    </row>
    <row r="45" spans="1:9" ht="19.5">
      <c r="A45" s="88"/>
      <c r="B45" s="87"/>
      <c r="C45" s="805"/>
      <c r="D45" s="989"/>
      <c r="E45" s="91"/>
      <c r="F45" s="638"/>
      <c r="G45" s="639"/>
      <c r="H45" s="799"/>
      <c r="I45" s="846">
        <f t="shared" si="1"/>
        <v>0</v>
      </c>
    </row>
    <row r="46" spans="1:9" ht="19.5">
      <c r="A46" s="88"/>
      <c r="B46" s="87"/>
      <c r="C46" s="805"/>
      <c r="D46" s="989"/>
      <c r="E46" s="91"/>
      <c r="F46" s="638"/>
      <c r="G46" s="639"/>
      <c r="H46" s="799"/>
      <c r="I46" s="846">
        <f t="shared" si="1"/>
        <v>0</v>
      </c>
    </row>
    <row r="47" spans="1:9" ht="19.5">
      <c r="A47" s="88"/>
      <c r="B47" s="87"/>
      <c r="C47" s="805"/>
      <c r="D47" s="989"/>
      <c r="E47" s="91"/>
      <c r="F47" s="638"/>
      <c r="G47" s="639"/>
      <c r="H47" s="799"/>
      <c r="I47" s="846">
        <f t="shared" si="1"/>
        <v>0</v>
      </c>
    </row>
    <row r="48" spans="1:9" ht="19.5">
      <c r="A48" s="88"/>
      <c r="B48" s="87"/>
      <c r="C48" s="805"/>
      <c r="D48" s="989"/>
      <c r="E48" s="91"/>
      <c r="F48" s="638"/>
      <c r="G48" s="639"/>
      <c r="H48" s="799"/>
      <c r="I48" s="846">
        <f t="shared" si="1"/>
        <v>0</v>
      </c>
    </row>
    <row r="49" spans="1:9" ht="19.5">
      <c r="A49" s="88"/>
      <c r="B49" s="87"/>
      <c r="C49" s="805"/>
      <c r="D49" s="989"/>
      <c r="E49" s="91"/>
      <c r="F49" s="638"/>
      <c r="G49" s="639"/>
      <c r="H49" s="799"/>
      <c r="I49" s="846"/>
    </row>
    <row r="50" spans="1:9" ht="19.5">
      <c r="A50" s="88"/>
      <c r="B50" s="87"/>
      <c r="C50" s="805"/>
      <c r="D50" s="989"/>
      <c r="E50" s="91"/>
      <c r="F50" s="638"/>
      <c r="G50" s="639"/>
      <c r="H50" s="799"/>
      <c r="I50" s="846"/>
    </row>
    <row r="51" spans="1:9" ht="19.5">
      <c r="A51" s="88"/>
      <c r="B51" s="87"/>
      <c r="C51" s="805"/>
      <c r="D51" s="989"/>
      <c r="E51" s="91"/>
      <c r="F51" s="638"/>
      <c r="G51" s="639"/>
      <c r="H51" s="799"/>
      <c r="I51" s="846"/>
    </row>
    <row r="52" spans="1:9" ht="19.5">
      <c r="A52" s="88"/>
      <c r="B52" s="87"/>
      <c r="C52" s="805"/>
      <c r="D52" s="989"/>
      <c r="E52" s="91"/>
      <c r="F52" s="638"/>
      <c r="G52" s="639"/>
      <c r="H52" s="799"/>
      <c r="I52" s="846"/>
    </row>
    <row r="53" spans="1:9" ht="19.5">
      <c r="A53" s="88"/>
      <c r="B53" s="87"/>
      <c r="C53" s="805"/>
      <c r="D53" s="989"/>
      <c r="E53" s="91"/>
      <c r="F53" s="638"/>
      <c r="G53" s="639"/>
      <c r="H53" s="799"/>
      <c r="I53" s="846"/>
    </row>
    <row r="54" spans="1:9" ht="19.5">
      <c r="A54" s="88"/>
      <c r="B54" s="87"/>
      <c r="C54" s="805"/>
      <c r="D54" s="87"/>
      <c r="E54" s="91"/>
      <c r="F54" s="4"/>
      <c r="G54" s="238"/>
    </row>
    <row r="55" spans="1:9" ht="19.5">
      <c r="A55" s="88">
        <f>+A36+1</f>
        <v>6</v>
      </c>
      <c r="B55" s="87"/>
      <c r="C55" s="805" t="s">
        <v>595</v>
      </c>
      <c r="D55" s="179"/>
      <c r="E55" s="91">
        <f>SUM(F56:F59)</f>
        <v>1059964.1200000001</v>
      </c>
      <c r="F55" s="84"/>
      <c r="G55" s="238"/>
      <c r="I55" s="846">
        <f>SUM(I56:I60)</f>
        <v>95947.416224275556</v>
      </c>
    </row>
    <row r="56" spans="1:9" ht="19.5">
      <c r="A56" s="88"/>
      <c r="B56" s="87"/>
      <c r="C56" s="805"/>
      <c r="D56" s="989">
        <v>2024</v>
      </c>
      <c r="E56" s="91"/>
      <c r="F56" s="638">
        <v>-44374.879999999997</v>
      </c>
      <c r="G56" s="639" t="s">
        <v>635</v>
      </c>
      <c r="H56" s="799">
        <v>0.16916886089228111</v>
      </c>
      <c r="I56" s="846">
        <f>F56*H56</f>
        <v>-7506.8479018316666</v>
      </c>
    </row>
    <row r="57" spans="1:9" ht="19.5">
      <c r="A57" s="88"/>
      <c r="B57" s="87"/>
      <c r="C57" s="805"/>
      <c r="D57" s="989">
        <v>2025</v>
      </c>
      <c r="E57" s="91"/>
      <c r="F57" s="638">
        <v>1104339</v>
      </c>
      <c r="G57" s="639" t="s">
        <v>635</v>
      </c>
      <c r="H57" s="799">
        <f>'WS H Other Taxes'!G80</f>
        <v>9.3679806767765356E-2</v>
      </c>
      <c r="I57" s="846">
        <f>F57*H57</f>
        <v>103454.26412610723</v>
      </c>
    </row>
    <row r="58" spans="1:9" ht="19.5">
      <c r="A58" s="88"/>
      <c r="B58" s="87"/>
      <c r="C58" s="805"/>
      <c r="D58" s="638"/>
      <c r="E58" s="91"/>
      <c r="F58" s="638"/>
      <c r="G58" s="639"/>
      <c r="H58" s="639"/>
      <c r="I58" s="846">
        <f>F58*H58</f>
        <v>0</v>
      </c>
    </row>
    <row r="59" spans="1:9" ht="19.5">
      <c r="A59" s="88"/>
      <c r="B59" s="87"/>
      <c r="C59" s="805"/>
      <c r="D59" s="638"/>
      <c r="E59" s="91"/>
      <c r="F59" s="638"/>
      <c r="G59" s="639"/>
      <c r="H59" s="639"/>
      <c r="I59" s="846">
        <f>F59*H59</f>
        <v>0</v>
      </c>
    </row>
    <row r="60" spans="1:9" ht="19.5">
      <c r="A60" s="88"/>
      <c r="B60" s="87"/>
      <c r="C60" s="805"/>
      <c r="D60" s="638"/>
      <c r="E60" s="91"/>
      <c r="F60" s="638"/>
      <c r="G60" s="639"/>
      <c r="H60" s="639"/>
      <c r="I60" s="846">
        <f>F60*H60</f>
        <v>0</v>
      </c>
    </row>
    <row r="61" spans="1:9" ht="19.5">
      <c r="A61" s="88"/>
      <c r="B61" s="87"/>
      <c r="C61" s="805"/>
      <c r="D61" s="179"/>
      <c r="E61" s="91">
        <f>SUM(F62:F65)</f>
        <v>5317309.04</v>
      </c>
      <c r="F61" s="237"/>
      <c r="G61" s="238"/>
      <c r="I61" s="846">
        <f>SUM(I62:I65)</f>
        <v>1431402.9608435757</v>
      </c>
    </row>
    <row r="62" spans="1:9" ht="19.5">
      <c r="A62" s="88">
        <f>A55+1</f>
        <v>7</v>
      </c>
      <c r="B62" s="87"/>
      <c r="C62" s="805" t="s">
        <v>463</v>
      </c>
      <c r="D62" s="989">
        <v>2023</v>
      </c>
      <c r="E62" s="91"/>
      <c r="F62" s="638">
        <v>-255690.96</v>
      </c>
      <c r="G62" s="639" t="s">
        <v>635</v>
      </c>
      <c r="H62" s="799">
        <v>0.26445378030366734</v>
      </c>
      <c r="I62" s="846">
        <f>F62*H62</f>
        <v>-67618.440961473796</v>
      </c>
    </row>
    <row r="63" spans="1:9" ht="19.5">
      <c r="A63" s="88"/>
      <c r="B63" s="87"/>
      <c r="C63" s="87"/>
      <c r="D63" s="989">
        <v>2024</v>
      </c>
      <c r="E63" s="91"/>
      <c r="F63" s="638">
        <v>5573000</v>
      </c>
      <c r="G63" s="639" t="s">
        <v>635</v>
      </c>
      <c r="H63" s="799">
        <v>0.26897925745649554</v>
      </c>
      <c r="I63" s="846">
        <f>F63*H63</f>
        <v>1499021.4018050495</v>
      </c>
    </row>
    <row r="64" spans="1:9" ht="19.5">
      <c r="A64" s="88"/>
      <c r="B64" s="87"/>
      <c r="C64" s="87"/>
      <c r="D64" s="989"/>
      <c r="E64" s="91"/>
      <c r="F64" s="638"/>
      <c r="G64" s="639"/>
      <c r="H64" s="799"/>
      <c r="I64" s="846">
        <f>F64*H64</f>
        <v>0</v>
      </c>
    </row>
    <row r="65" spans="1:9" ht="19.5">
      <c r="A65" s="88"/>
      <c r="B65" s="87"/>
      <c r="C65" s="87"/>
      <c r="D65" s="989"/>
      <c r="E65" s="91"/>
      <c r="F65" s="638"/>
      <c r="G65" s="639"/>
      <c r="H65" s="799"/>
      <c r="I65" s="846">
        <f>F65*H65</f>
        <v>0</v>
      </c>
    </row>
    <row r="66" spans="1:9" ht="19.5">
      <c r="A66" s="811"/>
      <c r="B66" s="812"/>
      <c r="C66" s="812"/>
      <c r="D66" s="813"/>
      <c r="E66" s="814"/>
      <c r="F66" s="813"/>
      <c r="G66" s="815"/>
      <c r="H66" s="815"/>
      <c r="I66" s="816"/>
    </row>
    <row r="67" spans="1:9" ht="19.5">
      <c r="A67" s="88"/>
      <c r="B67" s="87"/>
      <c r="C67" s="87"/>
      <c r="D67" s="179"/>
      <c r="E67" s="91"/>
      <c r="F67" s="237"/>
      <c r="G67" s="238"/>
    </row>
    <row r="68" spans="1:9" ht="18">
      <c r="A68" s="88"/>
      <c r="B68" s="87"/>
      <c r="C68" s="25" t="s">
        <v>162</v>
      </c>
      <c r="E68" s="25" t="s">
        <v>163</v>
      </c>
      <c r="F68" s="25" t="s">
        <v>164</v>
      </c>
      <c r="G68" s="25" t="s">
        <v>165</v>
      </c>
    </row>
    <row r="69" spans="1:9" ht="18">
      <c r="A69" s="161"/>
      <c r="B69" s="162"/>
      <c r="C69" s="162"/>
      <c r="D69" s="162"/>
      <c r="E69"/>
      <c r="F69"/>
      <c r="G69" s="28"/>
    </row>
    <row r="70" spans="1:9" ht="18">
      <c r="A70" s="161" t="s">
        <v>169</v>
      </c>
      <c r="B70" s="162"/>
      <c r="C70" s="162"/>
      <c r="D70" s="162"/>
      <c r="E70" s="163" t="s">
        <v>118</v>
      </c>
      <c r="F70" s="161" t="s">
        <v>76</v>
      </c>
    </row>
    <row r="71" spans="1:9" ht="18">
      <c r="A71" s="165" t="s">
        <v>117</v>
      </c>
      <c r="B71" s="205"/>
      <c r="C71" s="165" t="s">
        <v>30</v>
      </c>
      <c r="D71" s="809"/>
      <c r="E71" s="166" t="s">
        <v>183</v>
      </c>
      <c r="F71" s="165" t="s">
        <v>77</v>
      </c>
      <c r="G71" s="166" t="s">
        <v>78</v>
      </c>
    </row>
    <row r="72" spans="1:9" ht="19.5">
      <c r="A72" s="88">
        <f>+A62+1</f>
        <v>8</v>
      </c>
      <c r="B72" s="87"/>
      <c r="C72" s="90" t="s">
        <v>325</v>
      </c>
      <c r="D72" s="87"/>
      <c r="E72" s="84"/>
      <c r="F72" s="87" t="s">
        <v>114</v>
      </c>
      <c r="G72" s="206"/>
    </row>
    <row r="73" spans="1:9" ht="19.5">
      <c r="A73" s="88">
        <f>+A72+1</f>
        <v>9</v>
      </c>
      <c r="B73" s="87"/>
      <c r="C73" s="87" t="s">
        <v>1235</v>
      </c>
      <c r="D73" s="87"/>
      <c r="E73" s="91">
        <f>SUM(F74:F75)</f>
        <v>9002776</v>
      </c>
      <c r="F73" s="208"/>
      <c r="G73" s="206"/>
    </row>
    <row r="74" spans="1:9" ht="19.5">
      <c r="A74" s="88"/>
      <c r="B74" s="87"/>
      <c r="C74" s="87"/>
      <c r="D74" s="87"/>
      <c r="E74" s="91"/>
      <c r="F74" s="638">
        <v>8959803</v>
      </c>
      <c r="G74" s="639" t="s">
        <v>1520</v>
      </c>
    </row>
    <row r="75" spans="1:9" ht="19.5">
      <c r="A75" s="88"/>
      <c r="B75" s="87"/>
      <c r="C75" s="87"/>
      <c r="D75" s="87"/>
      <c r="E75" s="91"/>
      <c r="F75" s="638">
        <v>42973</v>
      </c>
      <c r="G75" s="639" t="s">
        <v>1229</v>
      </c>
    </row>
    <row r="76" spans="1:9" ht="19.5">
      <c r="A76" s="88">
        <f>+A73+1</f>
        <v>10</v>
      </c>
      <c r="B76" s="87"/>
      <c r="C76" s="87" t="s">
        <v>314</v>
      </c>
      <c r="D76" s="87"/>
      <c r="E76" s="91">
        <f>SUM(F77)</f>
        <v>0</v>
      </c>
      <c r="F76" s="84"/>
      <c r="G76" s="243"/>
    </row>
    <row r="77" spans="1:9" ht="19.5">
      <c r="A77" s="88"/>
      <c r="B77" s="87"/>
      <c r="C77" s="87"/>
      <c r="D77" s="87"/>
      <c r="E77" s="91"/>
      <c r="F77" s="638"/>
      <c r="G77" s="639"/>
    </row>
    <row r="78" spans="1:9" ht="19.5">
      <c r="A78" s="88">
        <f>+A76+1</f>
        <v>11</v>
      </c>
      <c r="B78" s="87"/>
      <c r="C78" s="87" t="s">
        <v>1233</v>
      </c>
      <c r="D78" s="87"/>
      <c r="E78" s="91">
        <f>SUM(F79:F86)</f>
        <v>91446.81</v>
      </c>
      <c r="F78" s="84"/>
      <c r="G78" s="206"/>
    </row>
    <row r="79" spans="1:9" ht="19.5">
      <c r="A79" s="88"/>
      <c r="B79" s="87"/>
      <c r="C79" s="87"/>
      <c r="D79" s="87"/>
      <c r="E79" s="91"/>
      <c r="F79" s="638">
        <v>1054</v>
      </c>
      <c r="G79" s="639" t="s">
        <v>1232</v>
      </c>
    </row>
    <row r="80" spans="1:9" ht="19.5">
      <c r="A80" s="88"/>
      <c r="B80" s="87"/>
      <c r="C80" s="87"/>
      <c r="D80" s="87"/>
      <c r="E80" s="91"/>
      <c r="F80" s="638">
        <v>-23</v>
      </c>
      <c r="G80" s="639" t="s">
        <v>1230</v>
      </c>
    </row>
    <row r="81" spans="1:9" ht="19.5">
      <c r="A81" s="88"/>
      <c r="B81" s="87"/>
      <c r="C81" s="87"/>
      <c r="D81" s="1226"/>
      <c r="E81" s="91"/>
      <c r="F81" s="638">
        <v>1735</v>
      </c>
      <c r="G81" s="639" t="s">
        <v>1231</v>
      </c>
    </row>
    <row r="82" spans="1:9" ht="19.5">
      <c r="A82" s="88"/>
      <c r="B82" s="87"/>
      <c r="C82" s="87"/>
      <c r="D82" s="87"/>
      <c r="E82" s="91"/>
      <c r="F82" s="638">
        <v>6</v>
      </c>
      <c r="G82" s="639" t="s">
        <v>1100</v>
      </c>
    </row>
    <row r="83" spans="1:9" ht="19.5">
      <c r="A83" s="88"/>
      <c r="B83" s="87"/>
      <c r="C83" s="87"/>
      <c r="D83" s="87"/>
      <c r="E83" s="91"/>
      <c r="F83" s="638">
        <v>646</v>
      </c>
      <c r="G83" s="639" t="s">
        <v>1098</v>
      </c>
    </row>
    <row r="84" spans="1:9" ht="19.5">
      <c r="A84" s="88"/>
      <c r="B84" s="87"/>
      <c r="C84" s="87"/>
      <c r="D84" s="87"/>
      <c r="E84" s="91"/>
      <c r="F84" s="638">
        <v>86505</v>
      </c>
      <c r="G84" s="639" t="s">
        <v>1099</v>
      </c>
    </row>
    <row r="85" spans="1:9" ht="19.5">
      <c r="A85" s="86"/>
      <c r="D85" s="87"/>
      <c r="E85" s="84"/>
      <c r="F85" s="638">
        <v>1523.8099999999977</v>
      </c>
      <c r="G85" s="639" t="s">
        <v>635</v>
      </c>
    </row>
    <row r="86" spans="1:9" ht="19.5">
      <c r="A86" s="86"/>
      <c r="D86" s="87"/>
      <c r="E86" s="84"/>
      <c r="F86" s="638"/>
      <c r="G86" s="639"/>
      <c r="I86" s="1225"/>
    </row>
    <row r="87" spans="1:9" ht="19.5">
      <c r="A87" s="88">
        <f>A78+1</f>
        <v>12</v>
      </c>
      <c r="B87" s="87"/>
      <c r="C87" s="90" t="s">
        <v>440</v>
      </c>
      <c r="D87" s="87"/>
      <c r="E87" s="91">
        <f>SUM(F88:F88)</f>
        <v>0</v>
      </c>
      <c r="F87" s="237"/>
      <c r="G87" s="238"/>
    </row>
    <row r="88" spans="1:9" ht="19.5">
      <c r="A88" s="88">
        <f>+A87+1</f>
        <v>13</v>
      </c>
      <c r="B88" s="87"/>
      <c r="C88" s="84" t="s">
        <v>441</v>
      </c>
      <c r="D88" s="179"/>
      <c r="E88" s="91"/>
      <c r="F88" s="638"/>
      <c r="G88" s="639"/>
    </row>
    <row r="89" spans="1:9" ht="19.5">
      <c r="A89" s="88"/>
      <c r="B89" s="87"/>
      <c r="C89" s="84"/>
      <c r="D89" s="87"/>
      <c r="E89" s="212"/>
      <c r="F89" s="237"/>
      <c r="G89" s="84"/>
    </row>
    <row r="90" spans="1:9" ht="19.5">
      <c r="A90" s="94">
        <f>+A88+1</f>
        <v>14</v>
      </c>
      <c r="B90" s="87"/>
      <c r="C90" s="90" t="s">
        <v>322</v>
      </c>
      <c r="D90" s="96"/>
      <c r="E90" s="84"/>
      <c r="F90" s="84"/>
      <c r="G90" s="84"/>
    </row>
    <row r="91" spans="1:9" ht="19.5">
      <c r="A91" s="94">
        <f>A90+1</f>
        <v>15</v>
      </c>
      <c r="B91" s="95"/>
      <c r="C91" s="84" t="s">
        <v>439</v>
      </c>
      <c r="D91" s="96"/>
      <c r="E91" s="91">
        <f>SUM(F92:F96)</f>
        <v>44476640</v>
      </c>
      <c r="F91" s="84"/>
      <c r="G91" s="84"/>
    </row>
    <row r="92" spans="1:9" ht="19.5">
      <c r="A92" s="94"/>
      <c r="B92" s="95"/>
      <c r="C92" s="84"/>
      <c r="E92" s="212"/>
      <c r="F92" s="638">
        <v>17351013</v>
      </c>
      <c r="G92" s="639" t="s">
        <v>1417</v>
      </c>
    </row>
    <row r="93" spans="1:9" ht="19.5">
      <c r="A93" s="94"/>
      <c r="B93" s="95"/>
      <c r="C93" s="84"/>
      <c r="E93" s="212"/>
      <c r="F93" s="638">
        <v>27125627</v>
      </c>
      <c r="G93" s="639" t="s">
        <v>1519</v>
      </c>
    </row>
    <row r="94" spans="1:9" ht="19.5">
      <c r="A94" s="94"/>
      <c r="B94" s="95"/>
      <c r="C94" s="84"/>
      <c r="E94" s="212"/>
      <c r="F94" s="638"/>
      <c r="G94" s="639"/>
    </row>
    <row r="95" spans="1:9" ht="19.5">
      <c r="A95" s="94"/>
      <c r="B95" s="95"/>
      <c r="C95" s="84"/>
      <c r="E95" s="212"/>
      <c r="F95" s="638"/>
      <c r="G95" s="639"/>
    </row>
    <row r="96" spans="1:9" ht="19.5">
      <c r="A96" s="94"/>
      <c r="B96" s="95"/>
      <c r="C96" s="84"/>
      <c r="E96" s="212"/>
      <c r="F96" s="638"/>
      <c r="G96" s="639"/>
    </row>
    <row r="97" spans="1:7" ht="19.5">
      <c r="A97" s="88">
        <f>A91+1</f>
        <v>16</v>
      </c>
      <c r="B97" s="95"/>
      <c r="C97" s="84" t="s">
        <v>316</v>
      </c>
      <c r="D97" s="87"/>
      <c r="E97" s="91">
        <f>SUM(F98:F99)</f>
        <v>0</v>
      </c>
      <c r="F97" s="84"/>
      <c r="G97" s="84"/>
    </row>
    <row r="98" spans="1:7" ht="19.5">
      <c r="A98" s="88"/>
      <c r="B98" s="95"/>
      <c r="C98" s="84"/>
      <c r="D98" s="87"/>
      <c r="E98" s="91"/>
      <c r="F98" s="638"/>
      <c r="G98" s="639"/>
    </row>
    <row r="99" spans="1:7" ht="19.5">
      <c r="A99" s="88"/>
      <c r="B99" s="95"/>
      <c r="C99" s="84"/>
      <c r="D99" s="87"/>
      <c r="E99" s="91"/>
      <c r="F99" s="638"/>
      <c r="G99" s="639"/>
    </row>
    <row r="100" spans="1:7" ht="19.5">
      <c r="A100" s="88"/>
      <c r="B100" s="95"/>
      <c r="C100" s="84"/>
      <c r="D100" s="87"/>
      <c r="E100" s="91"/>
      <c r="F100" s="638"/>
      <c r="G100" s="639"/>
    </row>
    <row r="101" spans="1:7" ht="19.5">
      <c r="A101" s="88">
        <f>+A97+1</f>
        <v>17</v>
      </c>
      <c r="B101" s="87"/>
      <c r="C101" s="84" t="s">
        <v>317</v>
      </c>
      <c r="D101"/>
      <c r="E101" s="91">
        <f>SUM(F102:F109)</f>
        <v>1006631</v>
      </c>
    </row>
    <row r="102" spans="1:7" ht="19.5">
      <c r="A102" s="88"/>
      <c r="B102" s="87"/>
      <c r="C102" s="84"/>
      <c r="D102"/>
      <c r="E102" s="91"/>
      <c r="F102" s="638">
        <v>90407</v>
      </c>
      <c r="G102" s="639" t="s">
        <v>1521</v>
      </c>
    </row>
    <row r="103" spans="1:7" ht="19.5">
      <c r="A103" s="88"/>
      <c r="B103" s="87"/>
      <c r="C103" s="84"/>
      <c r="D103"/>
      <c r="E103" s="91"/>
      <c r="F103" s="638">
        <v>554</v>
      </c>
      <c r="G103" s="639" t="s">
        <v>1218</v>
      </c>
    </row>
    <row r="104" spans="1:7" ht="19.5">
      <c r="A104" s="88"/>
      <c r="B104" s="87"/>
      <c r="C104" s="84"/>
      <c r="D104"/>
      <c r="E104" s="91"/>
      <c r="F104" s="638">
        <v>915670</v>
      </c>
      <c r="G104" s="639" t="s">
        <v>1522</v>
      </c>
    </row>
    <row r="105" spans="1:7" ht="19.5">
      <c r="A105" s="88"/>
      <c r="B105" s="87"/>
      <c r="C105" s="84"/>
      <c r="D105"/>
      <c r="E105" s="91"/>
      <c r="F105" s="638"/>
      <c r="G105" s="639"/>
    </row>
    <row r="106" spans="1:7" ht="19.5">
      <c r="A106" s="88"/>
      <c r="B106" s="87"/>
      <c r="C106" s="84"/>
      <c r="D106"/>
      <c r="E106" s="91"/>
      <c r="F106" s="638"/>
      <c r="G106" s="639"/>
    </row>
    <row r="107" spans="1:7" ht="19.5">
      <c r="A107" s="88"/>
      <c r="B107" s="87"/>
      <c r="C107" s="84"/>
      <c r="D107"/>
      <c r="E107" s="91"/>
      <c r="F107" s="638"/>
      <c r="G107" s="639"/>
    </row>
    <row r="108" spans="1:7" ht="19.5">
      <c r="A108" s="88"/>
      <c r="B108" s="87"/>
      <c r="C108" s="84"/>
      <c r="D108"/>
      <c r="E108" s="91"/>
      <c r="F108" s="638"/>
      <c r="G108" s="639"/>
    </row>
    <row r="109" spans="1:7" ht="19.5">
      <c r="A109" s="88"/>
      <c r="B109" s="87"/>
      <c r="C109" s="84"/>
      <c r="D109"/>
      <c r="E109" s="91"/>
      <c r="F109" s="638"/>
      <c r="G109" s="639"/>
    </row>
    <row r="110" spans="1:7" ht="19.5">
      <c r="A110" s="88"/>
      <c r="B110" s="87"/>
      <c r="C110" s="84"/>
      <c r="D110"/>
      <c r="E110" s="91"/>
      <c r="F110" s="84"/>
      <c r="G110" s="84"/>
    </row>
    <row r="111" spans="1:7" ht="19.5">
      <c r="A111" s="88">
        <f>+A101+1</f>
        <v>18</v>
      </c>
      <c r="B111" s="87"/>
      <c r="C111" s="84" t="s">
        <v>318</v>
      </c>
      <c r="D111"/>
      <c r="E111" s="91">
        <f>SUM(F112:F117)</f>
        <v>0</v>
      </c>
      <c r="F111" s="84"/>
      <c r="G111" s="84"/>
    </row>
    <row r="112" spans="1:7" ht="19.5">
      <c r="A112" s="88"/>
      <c r="B112" s="87"/>
      <c r="C112" s="84"/>
      <c r="D112"/>
      <c r="E112" s="91"/>
      <c r="F112" s="638"/>
      <c r="G112" s="639"/>
    </row>
    <row r="113" spans="1:7" ht="19.5">
      <c r="A113" s="88"/>
      <c r="B113" s="87"/>
      <c r="C113" s="84"/>
      <c r="D113"/>
      <c r="E113" s="91"/>
      <c r="F113" s="638"/>
      <c r="G113" s="639"/>
    </row>
    <row r="114" spans="1:7" ht="19.5">
      <c r="A114" s="88"/>
      <c r="B114" s="87"/>
      <c r="C114" s="84"/>
      <c r="D114"/>
      <c r="E114" s="91"/>
      <c r="F114" s="638"/>
      <c r="G114" s="639"/>
    </row>
    <row r="115" spans="1:7" ht="19.5">
      <c r="A115" s="88"/>
      <c r="B115" s="87"/>
      <c r="C115" s="84"/>
      <c r="D115"/>
      <c r="E115" s="91"/>
      <c r="F115" s="638"/>
      <c r="G115" s="639"/>
    </row>
    <row r="116" spans="1:7" ht="19.5">
      <c r="A116" s="88"/>
      <c r="B116" s="87"/>
      <c r="C116" s="84"/>
      <c r="D116"/>
      <c r="E116" s="91"/>
      <c r="F116" s="638"/>
      <c r="G116" s="639"/>
    </row>
    <row r="117" spans="1:7" ht="19.5">
      <c r="A117" s="88"/>
      <c r="B117" s="87"/>
      <c r="C117" s="84"/>
      <c r="D117"/>
      <c r="E117" s="91"/>
      <c r="F117" s="638"/>
      <c r="G117" s="639"/>
    </row>
    <row r="118" spans="1:7" ht="19.5">
      <c r="A118" s="88">
        <f>+A111+1</f>
        <v>19</v>
      </c>
      <c r="B118" s="87"/>
      <c r="C118" s="84" t="s">
        <v>319</v>
      </c>
      <c r="D118" s="87"/>
      <c r="E118" s="91">
        <f>SUM(F119:F127)</f>
        <v>24428268</v>
      </c>
      <c r="F118" s="84"/>
      <c r="G118" s="238"/>
    </row>
    <row r="119" spans="1:7" ht="19.5">
      <c r="A119" s="88"/>
      <c r="B119" s="87"/>
      <c r="C119" s="84"/>
      <c r="D119" s="87"/>
      <c r="E119" s="91"/>
      <c r="F119" s="638">
        <v>24428268</v>
      </c>
      <c r="G119" s="639" t="s">
        <v>1523</v>
      </c>
    </row>
    <row r="120" spans="1:7" ht="19.5">
      <c r="A120" s="88"/>
      <c r="B120" s="87"/>
      <c r="C120" s="84"/>
      <c r="D120" s="87"/>
      <c r="E120" s="91"/>
      <c r="F120" s="638"/>
      <c r="G120" s="639"/>
    </row>
    <row r="121" spans="1:7" ht="19.5">
      <c r="A121" s="88"/>
      <c r="B121" s="87"/>
      <c r="C121" s="84"/>
      <c r="D121" s="87"/>
      <c r="E121" s="91"/>
      <c r="F121" s="638"/>
      <c r="G121" s="639"/>
    </row>
    <row r="122" spans="1:7" ht="19.5">
      <c r="A122" s="88"/>
      <c r="B122" s="87"/>
      <c r="C122" s="84"/>
      <c r="D122" s="87"/>
      <c r="E122" s="91"/>
      <c r="F122" s="638"/>
      <c r="G122" s="639"/>
    </row>
    <row r="123" spans="1:7" ht="19.5">
      <c r="A123" s="88"/>
      <c r="B123" s="87"/>
      <c r="C123" s="84"/>
      <c r="D123" s="87"/>
      <c r="E123" s="91"/>
      <c r="F123" s="638"/>
      <c r="G123" s="639"/>
    </row>
    <row r="124" spans="1:7" ht="19.5">
      <c r="A124" s="88"/>
      <c r="B124" s="87"/>
      <c r="C124" s="84"/>
      <c r="D124" s="87"/>
      <c r="E124" s="91"/>
      <c r="F124" s="638"/>
      <c r="G124" s="639"/>
    </row>
    <row r="125" spans="1:7" ht="19.5">
      <c r="A125" s="88"/>
      <c r="B125" s="87"/>
      <c r="C125" s="84"/>
      <c r="D125" s="87"/>
      <c r="E125" s="91"/>
      <c r="F125" s="638"/>
      <c r="G125" s="639"/>
    </row>
    <row r="126" spans="1:7" ht="19.5">
      <c r="A126" s="88"/>
      <c r="B126" s="87"/>
      <c r="C126" s="84"/>
      <c r="D126" s="87"/>
      <c r="E126" s="91"/>
      <c r="F126" s="638"/>
      <c r="G126" s="639"/>
    </row>
    <row r="127" spans="1:7" ht="19.5">
      <c r="A127" s="88"/>
      <c r="B127" s="87"/>
      <c r="C127" s="84"/>
      <c r="D127" s="87"/>
      <c r="E127" s="212"/>
      <c r="F127" s="638"/>
      <c r="G127" s="639"/>
    </row>
    <row r="128" spans="1:7" ht="19.5">
      <c r="A128" s="88">
        <f>+A118+1</f>
        <v>20</v>
      </c>
      <c r="B128" s="87"/>
      <c r="C128" s="84" t="s">
        <v>320</v>
      </c>
      <c r="E128" s="91">
        <f>SUM(F129:F135)</f>
        <v>-180902</v>
      </c>
      <c r="G128" s="84"/>
    </row>
    <row r="129" spans="1:10" ht="19.5">
      <c r="A129" s="88"/>
      <c r="B129" s="87"/>
      <c r="C129" s="84"/>
      <c r="D129" s="87"/>
      <c r="E129" s="91"/>
      <c r="F129" s="638">
        <v>-1</v>
      </c>
      <c r="G129" s="639" t="s">
        <v>1418</v>
      </c>
    </row>
    <row r="130" spans="1:10" ht="19.5">
      <c r="A130" s="88"/>
      <c r="B130" s="87"/>
      <c r="C130" s="84"/>
      <c r="D130" s="87"/>
      <c r="E130" s="91"/>
      <c r="F130" s="638">
        <v>-688</v>
      </c>
      <c r="G130" s="639" t="s">
        <v>1419</v>
      </c>
    </row>
    <row r="131" spans="1:10" ht="19.5">
      <c r="A131" s="88"/>
      <c r="B131" s="87"/>
      <c r="C131" s="84"/>
      <c r="D131" s="87"/>
      <c r="E131" s="91"/>
      <c r="F131" s="638">
        <v>-183</v>
      </c>
      <c r="G131" s="639" t="s">
        <v>1420</v>
      </c>
    </row>
    <row r="132" spans="1:10" ht="19.5">
      <c r="A132" s="88"/>
      <c r="B132" s="87"/>
      <c r="C132" s="84"/>
      <c r="D132" s="87"/>
      <c r="E132" s="91"/>
      <c r="F132" s="638">
        <v>-180030</v>
      </c>
      <c r="G132" s="639" t="s">
        <v>1421</v>
      </c>
    </row>
    <row r="133" spans="1:10" ht="19.5">
      <c r="A133" s="88"/>
      <c r="B133" s="87"/>
      <c r="C133" s="84"/>
      <c r="D133" s="87"/>
      <c r="E133" s="91"/>
      <c r="F133" s="638"/>
      <c r="G133" s="639"/>
    </row>
    <row r="134" spans="1:10" ht="19.5">
      <c r="A134" s="88"/>
      <c r="B134" s="87"/>
      <c r="C134" s="84"/>
      <c r="D134" s="87"/>
      <c r="E134" s="91"/>
      <c r="F134" s="638"/>
      <c r="G134" s="639"/>
    </row>
    <row r="135" spans="1:10" ht="19.5">
      <c r="A135" s="88"/>
      <c r="B135" s="87"/>
      <c r="C135" s="84"/>
      <c r="D135" s="87"/>
      <c r="E135" s="91"/>
      <c r="F135" s="84"/>
      <c r="G135" s="84"/>
    </row>
    <row r="136" spans="1:10" ht="19.5">
      <c r="A136" s="88">
        <f>+A128+1</f>
        <v>21</v>
      </c>
      <c r="B136" s="87"/>
      <c r="C136" s="84" t="s">
        <v>308</v>
      </c>
      <c r="D136" s="84"/>
      <c r="E136" s="91">
        <f>SUM(F137:F138)</f>
        <v>63725</v>
      </c>
      <c r="F136" s="84"/>
      <c r="G136" s="84"/>
    </row>
    <row r="137" spans="1:10" ht="19.5">
      <c r="A137" s="88"/>
      <c r="B137" s="87"/>
      <c r="C137" s="84"/>
      <c r="D137" s="84"/>
      <c r="E137" s="91"/>
      <c r="F137" s="638">
        <v>63725</v>
      </c>
      <c r="G137" s="639" t="s">
        <v>1422</v>
      </c>
    </row>
    <row r="138" spans="1:10" ht="19.5">
      <c r="A138" s="88"/>
      <c r="B138" s="87"/>
      <c r="C138" s="84"/>
      <c r="D138" s="84"/>
      <c r="E138" s="91"/>
      <c r="F138" s="638"/>
      <c r="G138" s="639"/>
    </row>
    <row r="139" spans="1:10" ht="19.5">
      <c r="A139" s="88">
        <f>+A136+1</f>
        <v>22</v>
      </c>
      <c r="B139" s="84"/>
      <c r="C139" s="102" t="s">
        <v>1065</v>
      </c>
      <c r="D139" s="84"/>
      <c r="E139" s="91">
        <f>SUM(F140:F140)</f>
        <v>0</v>
      </c>
      <c r="F139" s="207"/>
      <c r="G139" s="84"/>
    </row>
    <row r="140" spans="1:10" ht="19.5">
      <c r="A140" s="88"/>
      <c r="B140" s="84"/>
      <c r="C140" s="102"/>
      <c r="D140" s="84"/>
      <c r="E140" s="91"/>
      <c r="F140" s="638"/>
      <c r="G140" s="639"/>
    </row>
    <row r="141" spans="1:10" ht="19.5">
      <c r="A141" s="4"/>
      <c r="B141" s="84"/>
      <c r="C141" s="198"/>
      <c r="D141"/>
      <c r="E141"/>
      <c r="F141" s="197"/>
      <c r="G141" s="1"/>
    </row>
    <row r="142" spans="1:10" ht="20.25" thickBot="1">
      <c r="A142" s="191">
        <f>+A139+1</f>
        <v>23</v>
      </c>
      <c r="B142" s="198"/>
      <c r="C142" s="84" t="s">
        <v>311</v>
      </c>
      <c r="D142"/>
      <c r="E142" s="101">
        <f>E15+E25+E73+E76+E78+E91+E101+E111+E118+E128+E97+E136+E139</f>
        <v>172658935.33000001</v>
      </c>
      <c r="F142" s="101">
        <f>SUM(F15:F140)</f>
        <v>172658935.32999998</v>
      </c>
      <c r="G142" s="84"/>
      <c r="I142" s="1091"/>
      <c r="J142" s="1091"/>
    </row>
    <row r="143" spans="1:10" ht="20.25" thickTop="1">
      <c r="A143" s="4"/>
      <c r="B143" s="198"/>
      <c r="C143" s="84" t="s">
        <v>381</v>
      </c>
      <c r="D143"/>
      <c r="E143"/>
      <c r="F143" s="207"/>
      <c r="G143" s="84"/>
      <c r="I143" s="1091"/>
    </row>
    <row r="144" spans="1:10" ht="21">
      <c r="A144" s="4"/>
      <c r="B144" s="198"/>
      <c r="C144" s="84"/>
      <c r="D144"/>
      <c r="E144" s="222"/>
      <c r="F144" s="124" t="s">
        <v>114</v>
      </c>
      <c r="G144" s="91"/>
    </row>
    <row r="145" spans="1:7" ht="20.25" customHeight="1">
      <c r="A145" s="1291" t="s">
        <v>761</v>
      </c>
      <c r="B145" s="1291"/>
      <c r="C145" s="1291"/>
      <c r="D145" s="1291"/>
      <c r="E145" s="1291"/>
      <c r="F145" s="1291"/>
      <c r="G145" s="1291"/>
    </row>
    <row r="146" spans="1:7" ht="20.25" customHeight="1">
      <c r="A146" s="1291"/>
      <c r="B146" s="1291"/>
      <c r="C146" s="1291"/>
      <c r="D146" s="1291"/>
      <c r="E146" s="1291"/>
      <c r="F146" s="1291"/>
      <c r="G146" s="1291"/>
    </row>
    <row r="147" spans="1:7" ht="20.25" customHeight="1">
      <c r="A147" s="1291"/>
      <c r="B147" s="1291"/>
      <c r="C147" s="1291"/>
      <c r="D147" s="1291"/>
      <c r="E147" s="1291"/>
      <c r="F147" s="1291"/>
      <c r="G147" s="1291"/>
    </row>
    <row r="148" spans="1:7" ht="20.25" customHeight="1">
      <c r="A148" s="1291"/>
      <c r="B148" s="1291"/>
      <c r="C148" s="1291"/>
      <c r="D148" s="1291"/>
      <c r="E148" s="1291"/>
      <c r="F148" s="1291"/>
      <c r="G148" s="1291"/>
    </row>
    <row r="149" spans="1:7" ht="20.25" customHeight="1">
      <c r="A149" s="1291"/>
      <c r="B149" s="1291"/>
      <c r="C149" s="1291"/>
      <c r="D149" s="1291"/>
      <c r="E149" s="1291"/>
      <c r="F149" s="1291"/>
      <c r="G149" s="1291"/>
    </row>
    <row r="150" spans="1:7" ht="20.25" customHeight="1">
      <c r="A150" s="843"/>
      <c r="B150" s="843"/>
      <c r="C150" s="843"/>
      <c r="D150" s="843"/>
      <c r="E150" s="843"/>
      <c r="F150" s="843"/>
      <c r="G150" s="843"/>
    </row>
    <row r="151" spans="1:7" ht="30.75" customHeight="1">
      <c r="A151" s="1290" t="s">
        <v>859</v>
      </c>
      <c r="B151" s="1290"/>
      <c r="C151" s="1290"/>
      <c r="D151" s="1290"/>
      <c r="E151" s="1290"/>
      <c r="F151" s="1290"/>
      <c r="G151" s="1290"/>
    </row>
    <row r="152" spans="1:7" ht="30.75" customHeight="1">
      <c r="A152" s="1290"/>
      <c r="B152" s="1290"/>
      <c r="C152" s="1290"/>
      <c r="D152" s="1290"/>
      <c r="E152" s="1290"/>
      <c r="F152" s="1290"/>
      <c r="G152" s="1290"/>
    </row>
    <row r="153" spans="1:7" ht="19.5">
      <c r="F153" s="84"/>
      <c r="G153" s="84"/>
    </row>
    <row r="154" spans="1:7" ht="19.5">
      <c r="F154" s="207"/>
      <c r="G154" s="84"/>
    </row>
    <row r="155" spans="1:7" ht="19.5">
      <c r="F155" s="207"/>
      <c r="G155" s="84"/>
    </row>
    <row r="156" spans="1:7" ht="19.5">
      <c r="F156" s="207"/>
      <c r="G156" s="84"/>
    </row>
    <row r="157" spans="1:7" ht="19.5">
      <c r="F157" s="84"/>
    </row>
    <row r="158" spans="1:7" ht="19.5">
      <c r="F158" s="84"/>
    </row>
    <row r="159" spans="1:7" ht="19.5">
      <c r="F159" s="84"/>
    </row>
    <row r="160" spans="1:7" ht="19.5">
      <c r="F160" s="84"/>
    </row>
    <row r="161" spans="6:6" ht="19.5">
      <c r="F161" s="91"/>
    </row>
  </sheetData>
  <mergeCells count="7">
    <mergeCell ref="A151:G152"/>
    <mergeCell ref="A145:G149"/>
    <mergeCell ref="A7:F7"/>
    <mergeCell ref="A3:F3"/>
    <mergeCell ref="A4:F4"/>
    <mergeCell ref="A5:F5"/>
    <mergeCell ref="A6:F6"/>
  </mergeCells>
  <phoneticPr fontId="73" type="noConversion"/>
  <pageMargins left="0.82" right="1.28" top="0.68" bottom="0.37" header="0.5" footer="0.5"/>
  <pageSetup scale="30" orientation="portrait" r:id="rId1"/>
  <headerFooter alignWithMargins="0">
    <oddHeader>&amp;R&amp;"Arial,Bold"Formula Rate 
&amp;A
Page &amp;P of &amp;N</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pageSetUpPr fitToPage="1"/>
  </sheetPr>
  <dimension ref="A1:AC78"/>
  <sheetViews>
    <sheetView tabSelected="1" view="pageBreakPreview" zoomScale="60" zoomScaleNormal="100" workbookViewId="0">
      <selection activeCell="F7" sqref="F7"/>
    </sheetView>
  </sheetViews>
  <sheetFormatPr defaultRowHeight="12.75"/>
  <cols>
    <col min="1" max="1" width="4.5703125" customWidth="1"/>
    <col min="3" max="3" width="13.85546875" customWidth="1"/>
    <col min="4" max="4" width="18.85546875" customWidth="1"/>
    <col min="5" max="5" width="13.140625" customWidth="1"/>
    <col min="6" max="6" width="12.5703125" customWidth="1"/>
    <col min="7" max="8" width="19.42578125" customWidth="1"/>
    <col min="9" max="9" width="18.5703125" customWidth="1"/>
    <col min="10" max="10" width="1.42578125" customWidth="1"/>
    <col min="12" max="12" width="15" bestFit="1" customWidth="1"/>
  </cols>
  <sheetData>
    <row r="1" spans="1:29" ht="15.75">
      <c r="A1" s="665" t="s">
        <v>114</v>
      </c>
    </row>
    <row r="2" spans="1:29" ht="15.75">
      <c r="A2" s="665" t="s">
        <v>114</v>
      </c>
    </row>
    <row r="3" spans="1:29" ht="18">
      <c r="A3" s="1293" t="s">
        <v>387</v>
      </c>
      <c r="B3" s="1293"/>
      <c r="C3" s="1293"/>
      <c r="D3" s="1293"/>
      <c r="E3" s="1293"/>
      <c r="F3" s="1293"/>
      <c r="G3" s="1293"/>
      <c r="H3" s="1293"/>
      <c r="I3" s="1293"/>
      <c r="J3" s="1293"/>
      <c r="K3" s="119"/>
      <c r="L3" s="119"/>
      <c r="M3" s="119"/>
    </row>
    <row r="4" spans="1:29" ht="18">
      <c r="A4" s="1292" t="str">
        <f>"Cost of Service Formula Rate Using "&amp;TCOS!L4&amp;" FF1 Balances"</f>
        <v>Cost of Service Formula Rate Using 2025 FF1 Balances</v>
      </c>
      <c r="B4" s="1292"/>
      <c r="C4" s="1292"/>
      <c r="D4" s="1292"/>
      <c r="E4" s="1292"/>
      <c r="F4" s="1292"/>
      <c r="G4" s="1292"/>
      <c r="H4" s="1292"/>
      <c r="I4" s="1292"/>
      <c r="J4" s="1292"/>
      <c r="K4" s="73"/>
      <c r="L4" s="73"/>
      <c r="M4" s="73"/>
    </row>
    <row r="5" spans="1:29" ht="18">
      <c r="A5" s="1292" t="s">
        <v>546</v>
      </c>
      <c r="B5" s="1292"/>
      <c r="C5" s="1292"/>
      <c r="D5" s="1292"/>
      <c r="E5" s="1292"/>
      <c r="F5" s="1292"/>
      <c r="G5" s="1292"/>
      <c r="H5" s="1292"/>
      <c r="I5" s="1292"/>
      <c r="J5" s="1292"/>
      <c r="K5" s="120"/>
      <c r="L5" s="120"/>
      <c r="M5" s="120"/>
    </row>
    <row r="6" spans="1:29" ht="18">
      <c r="A6" s="1286" t="str">
        <f>+TCOS!F9</f>
        <v>Appalachian Power Company</v>
      </c>
      <c r="B6" s="1286"/>
      <c r="C6" s="1286"/>
      <c r="D6" s="1286"/>
      <c r="E6" s="1286"/>
      <c r="F6" s="1286"/>
      <c r="G6" s="1286"/>
      <c r="H6" s="1286"/>
      <c r="I6" s="1286"/>
      <c r="J6" s="1286"/>
      <c r="K6" s="125"/>
      <c r="L6" s="125"/>
      <c r="M6" s="125"/>
    </row>
    <row r="8" spans="1:29" ht="18">
      <c r="A8" s="131"/>
      <c r="B8" s="13"/>
      <c r="D8" s="78"/>
      <c r="E8" s="4"/>
      <c r="F8" s="80"/>
    </row>
    <row r="9" spans="1:29" ht="18">
      <c r="C9" s="4"/>
      <c r="D9" s="78"/>
      <c r="E9" s="4"/>
      <c r="F9" s="80"/>
      <c r="Q9" s="119"/>
      <c r="R9" s="119"/>
      <c r="S9" s="119"/>
      <c r="T9" s="119"/>
      <c r="U9" s="119"/>
      <c r="V9" s="119"/>
      <c r="W9" s="119"/>
      <c r="X9" s="119"/>
      <c r="Y9" s="119"/>
      <c r="Z9" s="119"/>
      <c r="AA9" s="119"/>
      <c r="AB9" s="119"/>
      <c r="AC9" s="119"/>
    </row>
    <row r="10" spans="1:29">
      <c r="C10" s="4"/>
      <c r="D10" s="78"/>
    </row>
    <row r="11" spans="1:29">
      <c r="C11" s="4"/>
      <c r="D11" s="78"/>
    </row>
    <row r="12" spans="1:29">
      <c r="C12" s="4"/>
      <c r="D12" s="78"/>
      <c r="H12" s="79"/>
    </row>
    <row r="13" spans="1:29">
      <c r="C13" s="4"/>
      <c r="D13" s="78"/>
      <c r="H13" s="79"/>
    </row>
    <row r="14" spans="1:29">
      <c r="C14" s="4"/>
      <c r="D14" s="78"/>
      <c r="E14" s="4"/>
      <c r="H14" s="79"/>
    </row>
    <row r="15" spans="1:29">
      <c r="C15" s="4"/>
      <c r="D15" s="78"/>
      <c r="E15" s="4"/>
      <c r="H15" s="80"/>
    </row>
    <row r="16" spans="1:29">
      <c r="C16" s="4"/>
      <c r="D16" s="78"/>
      <c r="E16" s="4"/>
      <c r="H16" s="126"/>
    </row>
    <row r="18" spans="1:12" ht="18">
      <c r="A18" s="131"/>
      <c r="B18" s="13"/>
    </row>
    <row r="20" spans="1:12">
      <c r="A20" s="12"/>
      <c r="B20" s="12"/>
      <c r="C20" s="127"/>
      <c r="E20" s="127"/>
      <c r="F20" s="127"/>
      <c r="G20" s="127"/>
      <c r="H20" s="127"/>
      <c r="I20" s="127"/>
      <c r="J20" s="128"/>
    </row>
    <row r="22" spans="1:12">
      <c r="E22" s="129"/>
      <c r="F22" s="130"/>
      <c r="G22" s="130"/>
      <c r="I22" s="130"/>
      <c r="L22" s="239"/>
    </row>
    <row r="23" spans="1:12">
      <c r="E23" s="82"/>
      <c r="F23" s="130"/>
      <c r="G23" s="130"/>
      <c r="I23" s="130"/>
      <c r="L23" s="239"/>
    </row>
    <row r="24" spans="1:12">
      <c r="E24" s="82"/>
      <c r="F24" s="130"/>
      <c r="G24" s="130"/>
      <c r="I24" s="130"/>
      <c r="L24" s="239"/>
    </row>
    <row r="25" spans="1:12">
      <c r="E25" s="82"/>
      <c r="F25" s="130"/>
      <c r="G25" s="130"/>
      <c r="I25" s="130"/>
      <c r="L25" s="239"/>
    </row>
    <row r="26" spans="1:12">
      <c r="E26" s="82"/>
      <c r="F26" s="130"/>
      <c r="G26" s="130"/>
      <c r="I26" s="130"/>
      <c r="L26" s="239"/>
    </row>
    <row r="27" spans="1:12">
      <c r="E27" s="82"/>
      <c r="F27" s="130"/>
      <c r="G27" s="130"/>
      <c r="I27" s="130"/>
      <c r="L27" s="239"/>
    </row>
    <row r="28" spans="1:12">
      <c r="E28" s="82"/>
      <c r="F28" s="130"/>
      <c r="G28" s="130"/>
      <c r="I28" s="130"/>
      <c r="L28" s="239"/>
    </row>
    <row r="29" spans="1:12">
      <c r="E29" s="82"/>
      <c r="F29" s="130"/>
      <c r="G29" s="130"/>
      <c r="I29" s="130"/>
      <c r="L29" s="239"/>
    </row>
    <row r="30" spans="1:12">
      <c r="E30" s="82"/>
      <c r="F30" s="130"/>
      <c r="G30" s="130"/>
      <c r="I30" s="130"/>
      <c r="L30" s="239"/>
    </row>
    <row r="31" spans="1:12">
      <c r="E31" s="82"/>
      <c r="F31" s="130"/>
      <c r="G31" s="130"/>
      <c r="I31" s="130"/>
      <c r="L31" s="239"/>
    </row>
    <row r="32" spans="1:12">
      <c r="E32" s="82"/>
      <c r="F32" s="130"/>
      <c r="G32" s="130"/>
      <c r="I32" s="130"/>
      <c r="L32" s="239"/>
    </row>
    <row r="33" spans="1:12">
      <c r="E33" s="82"/>
      <c r="F33" s="130"/>
      <c r="G33" s="130"/>
      <c r="I33" s="130"/>
      <c r="L33" s="239"/>
    </row>
    <row r="35" spans="1:12">
      <c r="H35" s="75"/>
      <c r="I35" s="242"/>
    </row>
    <row r="37" spans="1:12" ht="18">
      <c r="A37" s="131"/>
      <c r="B37" s="13"/>
    </row>
    <row r="44" spans="1:12" ht="18">
      <c r="A44" s="131"/>
      <c r="B44" s="140"/>
      <c r="C44" s="132"/>
      <c r="E44" s="132"/>
      <c r="F44" s="132"/>
      <c r="G44" s="132"/>
      <c r="H44" s="132"/>
      <c r="I44" s="78"/>
    </row>
    <row r="45" spans="1:12">
      <c r="B45" s="133"/>
      <c r="C45" s="132"/>
      <c r="E45" s="132"/>
      <c r="F45" s="132"/>
      <c r="G45" s="132"/>
      <c r="H45" s="132"/>
      <c r="I45" s="78"/>
    </row>
    <row r="46" spans="1:12">
      <c r="B46" s="139"/>
      <c r="C46" s="132"/>
      <c r="E46" s="132"/>
      <c r="F46" s="132"/>
      <c r="G46" s="141"/>
      <c r="H46" s="141"/>
    </row>
    <row r="47" spans="1:12">
      <c r="B47" s="139"/>
      <c r="C47" s="134"/>
      <c r="E47" s="134"/>
      <c r="F47" s="134"/>
      <c r="G47" s="134"/>
    </row>
    <row r="48" spans="1:12">
      <c r="B48" s="136"/>
      <c r="F48" s="75"/>
      <c r="G48" s="169"/>
      <c r="H48" s="1"/>
      <c r="I48" s="137"/>
      <c r="J48" s="142"/>
    </row>
    <row r="49" spans="2:10">
      <c r="B49" s="136"/>
      <c r="F49" s="75"/>
      <c r="G49" s="135"/>
      <c r="H49" s="1"/>
      <c r="I49" s="137"/>
      <c r="J49" s="142"/>
    </row>
    <row r="50" spans="2:10">
      <c r="B50" s="139"/>
      <c r="G50" s="135"/>
      <c r="H50" s="1"/>
      <c r="I50" s="137"/>
      <c r="J50" s="142"/>
    </row>
    <row r="51" spans="2:10">
      <c r="C51" s="132"/>
      <c r="D51" s="132"/>
      <c r="E51" s="132"/>
      <c r="F51" s="132"/>
      <c r="G51" s="169"/>
      <c r="H51" s="142"/>
      <c r="J51" s="142"/>
    </row>
    <row r="52" spans="2:10">
      <c r="F52" s="75"/>
      <c r="G52" s="169"/>
      <c r="J52" s="143"/>
    </row>
    <row r="55" spans="2:10">
      <c r="D55" s="143"/>
    </row>
    <row r="56" spans="2:10">
      <c r="D56" s="143"/>
      <c r="H56" s="78"/>
    </row>
    <row r="57" spans="2:10">
      <c r="D57" s="143"/>
      <c r="H57" s="132"/>
    </row>
    <row r="58" spans="2:10">
      <c r="D58" s="143"/>
    </row>
    <row r="59" spans="2:10">
      <c r="D59" s="143"/>
      <c r="H59" s="78"/>
    </row>
    <row r="60" spans="2:10">
      <c r="D60" s="143"/>
    </row>
    <row r="61" spans="2:10">
      <c r="D61" s="143"/>
    </row>
    <row r="62" spans="2:10">
      <c r="D62" s="143"/>
    </row>
    <row r="63" spans="2:10">
      <c r="D63" s="143"/>
      <c r="H63" s="133"/>
    </row>
    <row r="64" spans="2:10">
      <c r="D64" s="143"/>
      <c r="H64" s="170"/>
    </row>
    <row r="65" spans="2:8">
      <c r="D65" s="143"/>
      <c r="H65" s="170"/>
    </row>
    <row r="66" spans="2:8">
      <c r="D66" s="143"/>
    </row>
    <row r="74" spans="2:8">
      <c r="B74" s="136"/>
      <c r="G74" s="137"/>
    </row>
    <row r="75" spans="2:8">
      <c r="G75" s="137"/>
    </row>
    <row r="76" spans="2:8">
      <c r="B76" s="171"/>
      <c r="G76" s="172"/>
    </row>
    <row r="77" spans="2:8">
      <c r="G77" s="137"/>
    </row>
    <row r="78" spans="2:8">
      <c r="G78" s="138"/>
    </row>
  </sheetData>
  <mergeCells count="4">
    <mergeCell ref="A4:J4"/>
    <mergeCell ref="A3:J3"/>
    <mergeCell ref="A6:J6"/>
    <mergeCell ref="A5:J5"/>
  </mergeCells>
  <phoneticPr fontId="0" type="noConversion"/>
  <pageMargins left="0.26" right="0.61" top="1" bottom="1" header="0.75" footer="0.5"/>
  <pageSetup scale="75" orientation="portrait" r:id="rId1"/>
  <headerFooter alignWithMargins="0">
    <oddHeader>&amp;R&amp;"Arial,Bold"Formula Rate 
&amp;A
Page &amp;P of &amp;N</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dimension ref="A1:P1240"/>
  <sheetViews>
    <sheetView view="pageBreakPreview" topLeftCell="D27" zoomScale="85" zoomScaleNormal="100" zoomScaleSheetLayoutView="85" workbookViewId="0">
      <selection activeCell="D24" sqref="D24"/>
    </sheetView>
  </sheetViews>
  <sheetFormatPr defaultColWidth="8.85546875" defaultRowHeight="12.75"/>
  <cols>
    <col min="1" max="1" width="4.5703125" customWidth="1"/>
    <col min="2" max="2" width="6.5703125" customWidth="1"/>
    <col min="3" max="3" width="42" customWidth="1"/>
    <col min="4" max="4" width="17.5703125" style="1" customWidth="1"/>
    <col min="5" max="7" width="17.5703125" customWidth="1"/>
    <col min="8" max="8" width="17.5703125" style="412" customWidth="1"/>
    <col min="9" max="9" width="17.5703125" bestFit="1" customWidth="1"/>
    <col min="10" max="10" width="2.140625" customWidth="1"/>
    <col min="11" max="11" width="20.5703125" customWidth="1"/>
    <col min="12" max="14" width="17.5703125" customWidth="1"/>
    <col min="15" max="15" width="16.5703125" customWidth="1"/>
    <col min="16" max="16" width="2.140625" style="4" customWidth="1"/>
  </cols>
  <sheetData>
    <row r="1" spans="1:16" ht="15.75">
      <c r="A1" s="665" t="s">
        <v>114</v>
      </c>
    </row>
    <row r="2" spans="1:16" ht="15.75">
      <c r="A2" s="665" t="s">
        <v>114</v>
      </c>
    </row>
    <row r="3" spans="1:16" ht="15">
      <c r="A3" s="1257" t="s">
        <v>387</v>
      </c>
      <c r="B3" s="1257"/>
      <c r="C3" s="1257"/>
      <c r="D3" s="1257"/>
      <c r="E3" s="1257"/>
      <c r="F3" s="1257"/>
      <c r="G3" s="1257"/>
      <c r="H3" s="1257"/>
      <c r="I3" s="1257"/>
      <c r="J3" s="1257"/>
      <c r="K3" s="1257"/>
      <c r="L3" s="1257"/>
      <c r="M3" s="1257"/>
      <c r="N3" s="1257"/>
      <c r="O3" s="1257"/>
    </row>
    <row r="4" spans="1:16" ht="15">
      <c r="A4" s="1258" t="str">
        <f>"Cost of Service Formula Rate Using "&amp;TCOS!L4&amp;" FF1 Balances"</f>
        <v>Cost of Service Formula Rate Using 2025 FF1 Balances</v>
      </c>
      <c r="B4" s="1258"/>
      <c r="C4" s="1258"/>
      <c r="D4" s="1258"/>
      <c r="E4" s="1258"/>
      <c r="F4" s="1258"/>
      <c r="G4" s="1258"/>
      <c r="H4" s="1258"/>
      <c r="I4" s="1258"/>
      <c r="J4" s="1258"/>
      <c r="K4" s="1258"/>
      <c r="L4" s="1258"/>
      <c r="M4" s="1258"/>
      <c r="N4" s="1258"/>
      <c r="O4" s="1258"/>
    </row>
    <row r="5" spans="1:16" ht="15">
      <c r="A5" s="1258" t="s">
        <v>468</v>
      </c>
      <c r="B5" s="1258"/>
      <c r="C5" s="1258"/>
      <c r="D5" s="1258"/>
      <c r="E5" s="1258"/>
      <c r="F5" s="1258"/>
      <c r="G5" s="1258"/>
      <c r="H5" s="1258"/>
      <c r="I5" s="1258"/>
      <c r="J5" s="1258"/>
      <c r="K5" s="1258"/>
      <c r="L5" s="1258"/>
      <c r="M5" s="1258"/>
      <c r="N5" s="1258"/>
      <c r="O5" s="1258"/>
    </row>
    <row r="6" spans="1:16" ht="15">
      <c r="A6" s="1263" t="str">
        <f>TCOS!F9</f>
        <v>Appalachian Power Company</v>
      </c>
      <c r="B6" s="1263"/>
      <c r="C6" s="1263"/>
      <c r="D6" s="1263"/>
      <c r="E6" s="1263"/>
      <c r="F6" s="1263"/>
      <c r="G6" s="1263"/>
      <c r="H6" s="1263"/>
      <c r="I6" s="1263"/>
      <c r="J6" s="1263"/>
      <c r="K6" s="1263"/>
      <c r="L6" s="1263"/>
      <c r="M6" s="1263"/>
      <c r="N6" s="1263"/>
      <c r="O6" s="1263"/>
    </row>
    <row r="8" spans="1:16" ht="20.25">
      <c r="A8" s="413"/>
      <c r="N8" s="11" t="str">
        <f>"Page "&amp;P8&amp;" of "</f>
        <v xml:space="preserve">Page 1 of </v>
      </c>
      <c r="O8" s="414">
        <f>COUNT(P$8:P$56676)</f>
        <v>14</v>
      </c>
      <c r="P8" s="11">
        <v>1</v>
      </c>
    </row>
    <row r="9" spans="1:16" ht="18">
      <c r="C9" s="13"/>
    </row>
    <row r="11" spans="1:16" ht="18">
      <c r="B11" s="415" t="s">
        <v>171</v>
      </c>
      <c r="C11" s="1300" t="str">
        <f>"Calculate Return and Income Taxes with "&amp;F17&amp;" basis point ROE increase for Projects Qualified for Regional Billing."</f>
        <v>Calculate Return and Income Taxes with  basis point ROE increase for Projects Qualified for Regional Billing.</v>
      </c>
      <c r="D11" s="1301"/>
      <c r="E11" s="1301"/>
      <c r="F11" s="1301"/>
      <c r="G11" s="1301"/>
      <c r="H11" s="1301"/>
    </row>
    <row r="12" spans="1:16" ht="18.75" customHeight="1">
      <c r="C12" s="1301"/>
      <c r="D12" s="1301"/>
      <c r="E12" s="1301"/>
      <c r="F12" s="1301"/>
      <c r="G12" s="1301"/>
      <c r="H12" s="1301"/>
    </row>
    <row r="13" spans="1:16" ht="15.75" customHeight="1">
      <c r="C13" s="12"/>
      <c r="D13" s="12"/>
      <c r="E13" s="12"/>
      <c r="F13" s="12"/>
      <c r="G13" s="12"/>
      <c r="H13" s="12"/>
    </row>
    <row r="14" spans="1:16" ht="15.75">
      <c r="C14" s="416" t="str">
        <f>"A.   Determine 'R' with hypothetical "&amp;F17&amp;" basis point increase in ROE for Identified Projects"</f>
        <v>A.   Determine 'R' with hypothetical  basis point increase in ROE for Identified Projects</v>
      </c>
    </row>
    <row r="16" spans="1:16">
      <c r="C16" s="417" t="str">
        <f>"   ROE w/o incentives  (TCOS, ln "&amp;TCOS!B273&amp;")"</f>
        <v xml:space="preserve">   ROE w/o incentives  (TCOS, ln 156)</v>
      </c>
      <c r="E16" s="418"/>
      <c r="F16" s="419">
        <f>TCOS!J273</f>
        <v>0.10349999999999999</v>
      </c>
      <c r="G16" s="418"/>
      <c r="H16" s="420"/>
      <c r="I16" s="420"/>
      <c r="J16" s="420"/>
      <c r="K16" s="420"/>
      <c r="L16" s="420"/>
      <c r="M16" s="420"/>
      <c r="N16" s="420"/>
      <c r="O16" s="420"/>
      <c r="P16" s="420"/>
    </row>
    <row r="17" spans="3:16">
      <c r="C17" s="417" t="s">
        <v>252</v>
      </c>
      <c r="E17" s="418"/>
      <c r="F17" s="640"/>
      <c r="G17" s="418"/>
      <c r="H17" s="420"/>
      <c r="I17" s="420"/>
      <c r="J17" s="420"/>
    </row>
    <row r="18" spans="3:16">
      <c r="C18" s="417" t="str">
        <f>"   ROE with additional "&amp;F17&amp;" basis point incentive"</f>
        <v xml:space="preserve">   ROE with additional  basis point incentive</v>
      </c>
      <c r="D18" s="418"/>
      <c r="E18" s="418"/>
      <c r="F18" s="421">
        <f>IF((F16+(F17/10000)&gt;0.1274),"ERROR",F16+(F17/10000))</f>
        <v>0.10349999999999999</v>
      </c>
      <c r="G18" s="422"/>
      <c r="H18" s="420"/>
      <c r="I18" s="420"/>
      <c r="J18" s="420"/>
    </row>
    <row r="19" spans="3:16">
      <c r="C19" s="417" t="str">
        <f>"   Determine R  ( cost of long term debt, cost of preferred stock and equity percentage is from the TCOS, lns "&amp;TCOS!B271&amp;" through"&amp;TCOS!B273&amp;")"</f>
        <v xml:space="preserve">   Determine R  ( cost of long term debt, cost of preferred stock and equity percentage is from the TCOS, lns 154 through156)</v>
      </c>
      <c r="E19" s="418"/>
      <c r="F19" s="423"/>
      <c r="G19" s="418"/>
      <c r="H19" s="420"/>
      <c r="I19" s="420"/>
      <c r="J19" s="420"/>
    </row>
    <row r="20" spans="3:16">
      <c r="C20" s="420"/>
      <c r="D20" s="424" t="s">
        <v>146</v>
      </c>
      <c r="E20" s="424" t="s">
        <v>145</v>
      </c>
      <c r="F20" s="425" t="s">
        <v>253</v>
      </c>
      <c r="G20" s="418"/>
      <c r="H20" s="420"/>
      <c r="I20" s="420"/>
      <c r="J20" s="420"/>
    </row>
    <row r="21" spans="3:16" ht="13.5" thickBot="1">
      <c r="C21" s="426" t="s">
        <v>257</v>
      </c>
      <c r="D21" s="427">
        <f>TCOS!H271</f>
        <v>0.49616897232360868</v>
      </c>
      <c r="E21" s="427">
        <f>TCOS!J271</f>
        <v>4.7972803945980823E-2</v>
      </c>
      <c r="F21" s="428">
        <f>E21*D21</f>
        <v>2.3802616833359266E-2</v>
      </c>
      <c r="G21" s="418"/>
      <c r="H21" s="420"/>
      <c r="I21" s="429"/>
      <c r="J21" s="429"/>
      <c r="K21" s="198"/>
      <c r="L21" s="198"/>
      <c r="M21" s="198"/>
      <c r="N21" s="198"/>
      <c r="O21" s="198"/>
    </row>
    <row r="22" spans="3:16">
      <c r="C22" s="426" t="s">
        <v>258</v>
      </c>
      <c r="D22" s="427">
        <f>TCOS!H272</f>
        <v>0</v>
      </c>
      <c r="E22" s="427">
        <f>TCOS!J272</f>
        <v>0</v>
      </c>
      <c r="F22" s="428">
        <f>E22*D22</f>
        <v>0</v>
      </c>
      <c r="G22" s="430"/>
      <c r="H22" s="430"/>
      <c r="I22" s="431"/>
      <c r="J22" s="431"/>
      <c r="K22" s="1294" t="s">
        <v>451</v>
      </c>
      <c r="L22" s="1295"/>
      <c r="M22" s="1295"/>
      <c r="N22" s="1295"/>
      <c r="O22" s="1296"/>
      <c r="P22" s="431"/>
    </row>
    <row r="23" spans="3:16">
      <c r="C23" s="426" t="s">
        <v>244</v>
      </c>
      <c r="D23" s="427">
        <f>TCOS!H273</f>
        <v>0.50383102767639132</v>
      </c>
      <c r="E23" s="427">
        <f>+F18</f>
        <v>0.10349999999999999</v>
      </c>
      <c r="F23" s="432">
        <f>E23*D23</f>
        <v>5.2146511364506501E-2</v>
      </c>
      <c r="G23" s="430"/>
      <c r="H23" s="430"/>
      <c r="I23" s="431"/>
      <c r="J23" s="431"/>
      <c r="K23" s="1297"/>
      <c r="L23" s="1298"/>
      <c r="M23" s="1298"/>
      <c r="N23" s="1298"/>
      <c r="O23" s="1299"/>
      <c r="P23" s="431"/>
    </row>
    <row r="24" spans="3:16">
      <c r="C24" s="417"/>
      <c r="D24"/>
      <c r="E24" s="433" t="s">
        <v>260</v>
      </c>
      <c r="F24" s="428">
        <f>SUM(F21:F23)</f>
        <v>7.594912819786577E-2</v>
      </c>
      <c r="G24" s="430"/>
      <c r="H24" s="430"/>
      <c r="I24" s="431"/>
      <c r="J24" s="431"/>
      <c r="K24" s="434"/>
      <c r="L24" s="435"/>
      <c r="M24" s="436" t="s">
        <v>254</v>
      </c>
      <c r="N24" s="436" t="s">
        <v>255</v>
      </c>
      <c r="O24" s="437" t="s">
        <v>256</v>
      </c>
      <c r="P24" s="431"/>
    </row>
    <row r="25" spans="3:16">
      <c r="C25" s="4"/>
      <c r="D25" s="438"/>
      <c r="E25" s="438"/>
      <c r="F25" s="430"/>
      <c r="G25" s="430"/>
      <c r="H25" s="430"/>
      <c r="I25" s="430"/>
      <c r="J25" s="430"/>
      <c r="K25" s="439"/>
      <c r="L25" s="198"/>
      <c r="M25" s="198"/>
      <c r="N25" s="198"/>
      <c r="O25" s="440"/>
      <c r="P25" s="430"/>
    </row>
    <row r="26" spans="3:16" ht="16.5" thickBot="1">
      <c r="C26" s="416" t="str">
        <f>"B.   Determine Return using 'R' with hypothetical "&amp;F17&amp;" basis point ROE increase for Identified Projects."</f>
        <v>B.   Determine Return using 'R' with hypothetical  basis point ROE increase for Identified Projects.</v>
      </c>
      <c r="D26" s="438"/>
      <c r="E26" s="438"/>
      <c r="F26" s="430"/>
      <c r="G26" s="430"/>
      <c r="H26" s="418"/>
      <c r="I26" s="430"/>
      <c r="J26" s="430"/>
      <c r="K26" s="441" t="s">
        <v>261</v>
      </c>
      <c r="L26" s="442">
        <f>TCOS!L4</f>
        <v>2025</v>
      </c>
      <c r="M26" s="641">
        <f>N89+N179+N268+N357+N446+N535+N624+N713+N802+N891+N980+N1069+N1158</f>
        <v>28316400.868180387</v>
      </c>
      <c r="N26" s="641">
        <f>N90+N180+N269+N358+N447+N536+N625+N714+N803+N892+N981+N1070+N1159</f>
        <v>28316400.868180387</v>
      </c>
      <c r="O26" s="443">
        <f>+N26-M26</f>
        <v>0</v>
      </c>
      <c r="P26" s="430"/>
    </row>
    <row r="27" spans="3:16">
      <c r="C27" s="420"/>
      <c r="D27" s="438"/>
      <c r="E27" s="438"/>
      <c r="F27" s="430"/>
      <c r="G27" s="430"/>
      <c r="H27" s="430"/>
      <c r="I27" s="430"/>
      <c r="J27" s="430"/>
      <c r="K27" s="444"/>
      <c r="L27" s="444"/>
      <c r="M27" s="444"/>
      <c r="N27" s="444"/>
      <c r="O27" s="444"/>
      <c r="P27" s="430"/>
    </row>
    <row r="28" spans="3:16">
      <c r="C28" s="445" t="str">
        <f>"   Rate Base  (TCOS, ln "&amp;TCOS!B131&amp;")"</f>
        <v xml:space="preserve">   Rate Base  (TCOS, ln 68)</v>
      </c>
      <c r="D28" s="418"/>
      <c r="F28" s="446">
        <f>TCOS!L131</f>
        <v>3526217159.3137565</v>
      </c>
      <c r="G28" s="430"/>
      <c r="H28" s="430"/>
      <c r="I28" s="430"/>
      <c r="J28" s="430"/>
      <c r="K28" s="444"/>
      <c r="L28" s="444"/>
      <c r="M28" s="444"/>
      <c r="N28" s="444"/>
      <c r="O28" s="447"/>
      <c r="P28" s="430"/>
    </row>
    <row r="29" spans="3:16">
      <c r="C29" s="420" t="s">
        <v>474</v>
      </c>
      <c r="D29" s="448"/>
      <c r="F29" s="428">
        <f>F24</f>
        <v>7.594912819786577E-2</v>
      </c>
      <c r="G29" s="430"/>
      <c r="H29" s="430"/>
      <c r="I29" s="430"/>
      <c r="J29" s="430"/>
      <c r="K29" s="430"/>
      <c r="L29" s="430"/>
      <c r="M29" s="430"/>
      <c r="N29" s="430"/>
      <c r="O29" s="430"/>
      <c r="P29" s="430"/>
    </row>
    <row r="30" spans="3:16">
      <c r="C30" s="449" t="s">
        <v>262</v>
      </c>
      <c r="D30" s="449"/>
      <c r="F30" s="431">
        <f>F28*F29</f>
        <v>267813119.08623457</v>
      </c>
      <c r="G30" s="430"/>
      <c r="H30" s="430"/>
      <c r="I30" s="431"/>
      <c r="J30" s="431"/>
      <c r="K30" s="431"/>
      <c r="L30" s="431"/>
      <c r="M30" s="431"/>
      <c r="N30" s="431"/>
      <c r="O30" s="430"/>
      <c r="P30" s="431"/>
    </row>
    <row r="31" spans="3:16">
      <c r="C31" s="449"/>
      <c r="D31" s="420"/>
      <c r="E31" s="420"/>
      <c r="F31" s="430"/>
      <c r="G31" s="430"/>
      <c r="H31" s="430"/>
      <c r="I31" s="431"/>
      <c r="J31" s="431"/>
      <c r="K31" s="431"/>
      <c r="L31" s="431"/>
      <c r="M31" s="431"/>
      <c r="N31" s="431"/>
      <c r="O31" s="430"/>
      <c r="P31" s="431"/>
    </row>
    <row r="32" spans="3:16" ht="15.75">
      <c r="C32" s="416" t="str">
        <f>"C.   Determine Income Taxes using Return with hypothetical "&amp;F17&amp;" basis point ROE increase for Identified Projects."</f>
        <v>C.   Determine Income Taxes using Return with hypothetical  basis point ROE increase for Identified Projects.</v>
      </c>
      <c r="D32" s="450"/>
      <c r="E32" s="450"/>
      <c r="F32" s="451"/>
      <c r="G32" s="451"/>
      <c r="H32" s="451"/>
      <c r="I32" s="452"/>
      <c r="J32" s="452"/>
      <c r="K32" s="452"/>
      <c r="L32" s="452"/>
      <c r="M32" s="452"/>
      <c r="N32" s="452"/>
      <c r="O32" s="451"/>
      <c r="P32" s="452"/>
    </row>
    <row r="33" spans="2:16">
      <c r="C33" s="417"/>
      <c r="D33" s="420"/>
      <c r="E33" s="420"/>
      <c r="F33" s="430"/>
      <c r="G33" s="430"/>
      <c r="H33" s="430"/>
      <c r="I33" s="431"/>
      <c r="J33" s="431"/>
      <c r="K33" s="431"/>
      <c r="L33" s="431"/>
      <c r="M33" s="431"/>
      <c r="N33" s="431"/>
      <c r="O33" s="430"/>
      <c r="P33" s="431"/>
    </row>
    <row r="34" spans="2:16">
      <c r="C34" s="420" t="s">
        <v>263</v>
      </c>
      <c r="D34" s="433"/>
      <c r="F34" s="453">
        <f>F30</f>
        <v>267813119.08623457</v>
      </c>
      <c r="G34" s="430"/>
      <c r="H34" s="430"/>
      <c r="I34" s="430"/>
      <c r="J34" s="430"/>
      <c r="K34" s="430"/>
      <c r="L34" s="430"/>
      <c r="M34" s="430"/>
      <c r="N34" s="430"/>
      <c r="O34" s="430"/>
      <c r="P34" s="430"/>
    </row>
    <row r="35" spans="2:16">
      <c r="C35" s="445" t="str">
        <f>"   Effective Tax Rate  (TCOS, ln "&amp;TCOS!B198&amp;")"</f>
        <v xml:space="preserve">   Effective Tax Rate  (TCOS, ln 114)</v>
      </c>
      <c r="D35" s="78"/>
      <c r="F35" s="80">
        <f>TCOS!G198</f>
        <v>0.20880508137686571</v>
      </c>
      <c r="G35" s="4"/>
      <c r="H35" s="454"/>
      <c r="I35" s="4"/>
      <c r="J35" s="4"/>
      <c r="K35" s="4"/>
      <c r="L35" s="4"/>
      <c r="M35" s="4"/>
      <c r="N35" s="4"/>
      <c r="O35" s="4"/>
    </row>
    <row r="36" spans="2:16">
      <c r="C36" s="449" t="s">
        <v>264</v>
      </c>
      <c r="D36" s="78"/>
      <c r="F36" s="455">
        <f>F34*F35</f>
        <v>55920740.124593437</v>
      </c>
      <c r="G36" s="4"/>
      <c r="H36" s="454"/>
      <c r="I36" s="4"/>
      <c r="J36" s="4"/>
      <c r="K36" s="4"/>
      <c r="L36" s="4"/>
      <c r="M36" s="4"/>
      <c r="N36" s="4"/>
      <c r="O36" s="4"/>
    </row>
    <row r="37" spans="2:16" ht="15">
      <c r="C37" s="417" t="s">
        <v>302</v>
      </c>
      <c r="D37" s="253"/>
      <c r="F37" s="430">
        <f>TCOS!L207</f>
        <v>-4105.7119906589578</v>
      </c>
      <c r="G37" s="253"/>
      <c r="H37" s="253"/>
      <c r="I37" s="253"/>
      <c r="J37" s="253"/>
      <c r="K37" s="253"/>
      <c r="L37" s="253"/>
      <c r="M37" s="253"/>
      <c r="N37" s="253"/>
      <c r="O37" s="267"/>
      <c r="P37" s="253"/>
    </row>
    <row r="38" spans="2:16" ht="15">
      <c r="C38" s="417" t="s">
        <v>532</v>
      </c>
      <c r="D38" s="253"/>
      <c r="F38" s="430">
        <f>TCOS!L208</f>
        <v>-6212846.4218616234</v>
      </c>
      <c r="G38" s="253"/>
      <c r="H38" s="253"/>
      <c r="I38" s="253"/>
      <c r="J38" s="253"/>
      <c r="K38" s="253"/>
      <c r="L38" s="253"/>
      <c r="M38" s="253"/>
      <c r="N38" s="253"/>
      <c r="O38" s="267"/>
      <c r="P38" s="253"/>
    </row>
    <row r="39" spans="2:16" ht="15">
      <c r="C39" s="417" t="s">
        <v>533</v>
      </c>
      <c r="D39" s="253"/>
      <c r="F39" s="456">
        <f>TCOS!L209</f>
        <v>3591589.4370786697</v>
      </c>
      <c r="G39" s="253"/>
      <c r="H39" s="253"/>
      <c r="I39" s="253"/>
      <c r="J39" s="253"/>
      <c r="K39" s="253"/>
      <c r="L39" s="253"/>
      <c r="M39" s="253"/>
      <c r="N39" s="253"/>
      <c r="O39" s="267"/>
      <c r="P39" s="253"/>
    </row>
    <row r="40" spans="2:16" ht="15">
      <c r="C40" s="449" t="s">
        <v>265</v>
      </c>
      <c r="D40" s="253"/>
      <c r="F40" s="430">
        <f>F36+F37+F38+F39</f>
        <v>53295377.427819818</v>
      </c>
      <c r="G40" s="253"/>
      <c r="H40" s="253"/>
      <c r="I40" s="253"/>
      <c r="J40" s="253"/>
      <c r="K40" s="253"/>
      <c r="L40" s="253"/>
      <c r="M40" s="253"/>
      <c r="N40" s="253"/>
      <c r="O40" s="266"/>
      <c r="P40" s="253"/>
    </row>
    <row r="41" spans="2:16" ht="12.75" customHeight="1">
      <c r="C41" s="250"/>
      <c r="D41" s="253"/>
      <c r="E41" s="253"/>
      <c r="F41" s="253"/>
      <c r="G41" s="253"/>
      <c r="H41" s="253"/>
      <c r="I41" s="253"/>
      <c r="J41" s="253"/>
      <c r="K41" s="253"/>
      <c r="L41" s="253"/>
      <c r="M41" s="253"/>
      <c r="N41" s="253"/>
      <c r="O41" s="266"/>
      <c r="P41" s="253"/>
    </row>
    <row r="42" spans="2:16" ht="18.75">
      <c r="B42" s="415" t="s">
        <v>172</v>
      </c>
      <c r="C42" s="13" t="str">
        <f>"Calculate Net Plant Carrying Charge Rate (Fixed Charge Rate or FCR) with hypothetical "&amp;F17&amp;""</f>
        <v xml:space="preserve">Calculate Net Plant Carrying Charge Rate (Fixed Charge Rate or FCR) with hypothetical </v>
      </c>
      <c r="D42" s="253"/>
      <c r="E42" s="253"/>
      <c r="F42" s="253"/>
      <c r="G42" s="253"/>
      <c r="H42" s="253"/>
      <c r="I42" s="253"/>
      <c r="J42" s="253"/>
      <c r="K42" s="253"/>
      <c r="L42" s="253"/>
      <c r="M42" s="253"/>
      <c r="N42" s="253"/>
      <c r="O42" s="266"/>
      <c r="P42" s="253"/>
    </row>
    <row r="43" spans="2:16" ht="18.75" customHeight="1">
      <c r="C43" s="13" t="str">
        <f>"basis point ROE increase."</f>
        <v>basis point ROE increase.</v>
      </c>
      <c r="D43" s="253"/>
      <c r="E43" s="253"/>
      <c r="F43" s="253"/>
      <c r="G43" s="253"/>
      <c r="H43" s="253"/>
      <c r="I43" s="253"/>
      <c r="J43" s="253"/>
      <c r="K43" s="253"/>
      <c r="L43" s="253"/>
      <c r="M43" s="253"/>
      <c r="N43" s="253"/>
      <c r="O43" s="266"/>
      <c r="P43" s="253"/>
    </row>
    <row r="44" spans="2:16" ht="12.75" customHeight="1">
      <c r="C44" s="13"/>
      <c r="D44" s="253"/>
      <c r="E44" s="253"/>
      <c r="F44" s="253"/>
      <c r="G44" s="253"/>
      <c r="H44" s="253"/>
      <c r="I44" s="253"/>
      <c r="J44" s="253"/>
      <c r="K44" s="253"/>
      <c r="L44" s="253"/>
      <c r="M44" s="253"/>
      <c r="N44" s="253"/>
      <c r="O44" s="266"/>
      <c r="P44" s="253"/>
    </row>
    <row r="45" spans="2:16" ht="15.75">
      <c r="C45" s="416" t="s">
        <v>465</v>
      </c>
      <c r="D45" s="253"/>
      <c r="E45" s="253"/>
      <c r="F45" s="250"/>
      <c r="G45" s="253"/>
      <c r="H45" s="253"/>
      <c r="I45" s="253"/>
      <c r="J45" s="253"/>
      <c r="K45" s="253"/>
      <c r="L45" s="253"/>
      <c r="M45" s="253"/>
      <c r="N45" s="253"/>
      <c r="O45" s="266"/>
      <c r="P45" s="253"/>
    </row>
    <row r="46" spans="2:16">
      <c r="B46" s="4"/>
      <c r="C46" s="417"/>
      <c r="D46" s="418"/>
      <c r="E46" s="418"/>
      <c r="F46" s="418"/>
      <c r="G46" s="418"/>
      <c r="H46" s="418"/>
      <c r="I46" s="418"/>
      <c r="J46" s="418"/>
      <c r="K46" s="418"/>
      <c r="L46" s="418"/>
      <c r="M46" s="418"/>
      <c r="N46" s="418"/>
      <c r="O46" s="430"/>
      <c r="P46" s="418"/>
    </row>
    <row r="47" spans="2:16" ht="12.75" customHeight="1">
      <c r="B47" s="4"/>
      <c r="C47" s="445" t="str">
        <f>"   Annual Revenue Requirement  (TCOS, ln "&amp;TCOS!B13&amp;")"</f>
        <v xml:space="preserve">   Annual Revenue Requirement  (TCOS, ln 1)</v>
      </c>
      <c r="D47" s="418"/>
      <c r="E47" s="418"/>
      <c r="G47" s="430">
        <f>TCOS!L13</f>
        <v>565575126.85593212</v>
      </c>
      <c r="H47" s="418"/>
      <c r="I47" s="418"/>
      <c r="J47" s="418"/>
      <c r="K47" s="418"/>
      <c r="L47" s="418"/>
      <c r="M47" s="418"/>
      <c r="N47" s="418"/>
      <c r="O47" s="430"/>
      <c r="P47" s="418"/>
    </row>
    <row r="48" spans="2:16" ht="12.75" customHeight="1">
      <c r="B48" s="4"/>
      <c r="C48" s="445" t="str">
        <f>"   Lease Payments (TCOS, Ln "&amp;TCOS!B175&amp;")"</f>
        <v xml:space="preserve">   Lease Payments (TCOS, Ln 95)</v>
      </c>
      <c r="D48" s="418"/>
      <c r="E48" s="418"/>
      <c r="G48" s="430">
        <f>TCOS!L175</f>
        <v>0</v>
      </c>
      <c r="H48" s="418"/>
      <c r="I48" s="418"/>
      <c r="J48" s="418"/>
      <c r="K48" s="418"/>
      <c r="L48" s="418"/>
      <c r="M48" s="418"/>
      <c r="N48" s="418"/>
      <c r="O48" s="430"/>
      <c r="P48" s="418"/>
    </row>
    <row r="49" spans="2:16">
      <c r="B49" s="4"/>
      <c r="C49" s="445" t="str">
        <f>"   Return  (TCOS, ln "&amp;TCOS!B213&amp;")"</f>
        <v xml:space="preserve">   Return  (TCOS, ln 126)</v>
      </c>
      <c r="D49" s="418"/>
      <c r="E49" s="418"/>
      <c r="G49" s="431">
        <f>TCOS!L213</f>
        <v>267813119.08623457</v>
      </c>
      <c r="H49" s="417"/>
      <c r="I49" s="417"/>
      <c r="J49" s="417"/>
      <c r="K49" s="417"/>
      <c r="L49" s="417"/>
      <c r="M49" s="417"/>
      <c r="N49" s="417"/>
      <c r="O49" s="430"/>
      <c r="P49" s="417"/>
    </row>
    <row r="50" spans="2:16">
      <c r="B50" s="4"/>
      <c r="C50" s="445" t="str">
        <f>"   Income Taxes  (TCOS, ln "&amp;TCOS!B211&amp;")"</f>
        <v xml:space="preserve">   Income Taxes  (TCOS, ln 125)</v>
      </c>
      <c r="D50" s="418"/>
      <c r="E50" s="418"/>
      <c r="G50" s="457">
        <f>TCOS!L211</f>
        <v>53295377.427819818</v>
      </c>
      <c r="H50" s="418"/>
      <c r="I50" s="458"/>
      <c r="J50" s="458"/>
      <c r="K50" s="458"/>
      <c r="L50" s="458"/>
      <c r="M50" s="458"/>
      <c r="N50" s="458"/>
      <c r="O50" s="418"/>
      <c r="P50" s="458"/>
    </row>
    <row r="51" spans="2:16">
      <c r="B51" s="4"/>
      <c r="C51" s="4" t="s">
        <v>589</v>
      </c>
      <c r="D51" s="418"/>
      <c r="E51" s="418"/>
      <c r="G51" s="431">
        <f>G47-G49-G50-G48</f>
        <v>244466630.34187773</v>
      </c>
      <c r="H51" s="418"/>
      <c r="I51" s="459"/>
      <c r="J51" s="459"/>
      <c r="K51" s="459"/>
      <c r="L51" s="459"/>
      <c r="M51" s="459"/>
      <c r="N51" s="459"/>
      <c r="O51" s="459"/>
      <c r="P51" s="459"/>
    </row>
    <row r="52" spans="2:16">
      <c r="B52" s="4"/>
      <c r="C52" s="417"/>
      <c r="D52" s="418"/>
      <c r="E52" s="418"/>
      <c r="F52" s="430"/>
      <c r="G52" s="460"/>
      <c r="H52" s="461"/>
      <c r="I52" s="461"/>
      <c r="J52" s="461"/>
      <c r="K52" s="461"/>
      <c r="L52" s="461"/>
      <c r="M52" s="461"/>
      <c r="N52" s="461"/>
      <c r="O52" s="461"/>
      <c r="P52" s="461"/>
    </row>
    <row r="53" spans="2:16" ht="15.75">
      <c r="B53" s="4"/>
      <c r="C53" s="416" t="str">
        <f>"B.   Determine Annual Revenue Requirement with hypothetical "&amp;F17&amp;" basis point increase in ROE."</f>
        <v>B.   Determine Annual Revenue Requirement with hypothetical  basis point increase in ROE.</v>
      </c>
      <c r="D53" s="420"/>
      <c r="E53" s="420"/>
      <c r="F53" s="430"/>
      <c r="G53" s="460"/>
      <c r="H53" s="461"/>
      <c r="I53" s="461"/>
      <c r="J53" s="461"/>
      <c r="K53" s="461"/>
      <c r="L53" s="461"/>
      <c r="M53" s="461"/>
      <c r="N53" s="461"/>
      <c r="O53" s="461"/>
      <c r="P53" s="461"/>
    </row>
    <row r="54" spans="2:16">
      <c r="B54" s="4"/>
      <c r="C54" s="417"/>
      <c r="D54" s="420"/>
      <c r="E54" s="420"/>
      <c r="F54" s="430"/>
      <c r="G54" s="460"/>
      <c r="H54" s="461"/>
      <c r="I54" s="461"/>
      <c r="J54" s="461"/>
      <c r="K54" s="461"/>
      <c r="L54" s="461"/>
      <c r="M54" s="461"/>
      <c r="N54" s="461"/>
      <c r="O54" s="461"/>
      <c r="P54" s="461"/>
    </row>
    <row r="55" spans="2:16">
      <c r="B55" s="4"/>
      <c r="C55" s="417" t="str">
        <f>C51</f>
        <v xml:space="preserve">   Annual Revenue Requirement, Less Lease Payments, Return and Taxes</v>
      </c>
      <c r="D55" s="420"/>
      <c r="E55" s="420"/>
      <c r="G55" s="430">
        <f>G51</f>
        <v>244466630.34187773</v>
      </c>
      <c r="H55" s="418"/>
      <c r="I55" s="418"/>
      <c r="J55" s="418"/>
      <c r="K55" s="418"/>
      <c r="L55" s="418"/>
      <c r="M55" s="418"/>
      <c r="N55" s="418"/>
      <c r="O55" s="462"/>
      <c r="P55" s="418"/>
    </row>
    <row r="56" spans="2:16">
      <c r="B56" s="4"/>
      <c r="C56" s="420" t="s">
        <v>299</v>
      </c>
      <c r="D56" s="78"/>
      <c r="E56" s="4"/>
      <c r="G56" s="455">
        <f>F30</f>
        <v>267813119.08623457</v>
      </c>
      <c r="H56" s="463"/>
      <c r="I56" s="4"/>
      <c r="J56" s="4"/>
      <c r="K56" s="4"/>
      <c r="L56" s="4"/>
      <c r="M56" s="4"/>
      <c r="N56" s="4"/>
      <c r="O56" s="4"/>
    </row>
    <row r="57" spans="2:16" ht="12.75" customHeight="1">
      <c r="B57" s="4"/>
      <c r="C57" s="417" t="s">
        <v>266</v>
      </c>
      <c r="D57" s="418"/>
      <c r="E57" s="418"/>
      <c r="G57" s="457">
        <f>F40</f>
        <v>53295377.427819818</v>
      </c>
      <c r="H57" s="454"/>
      <c r="I57" s="4"/>
      <c r="J57" s="4"/>
      <c r="K57" s="4"/>
      <c r="L57" s="4"/>
      <c r="M57" s="4"/>
      <c r="N57" s="4"/>
      <c r="O57" s="4"/>
    </row>
    <row r="58" spans="2:16">
      <c r="B58" s="4"/>
      <c r="C58" s="4" t="str">
        <f>"   Annual Revenue Requirement, with "&amp;F17&amp;" Basis Point ROE increase"</f>
        <v xml:space="preserve">   Annual Revenue Requirement, with  Basis Point ROE increase</v>
      </c>
      <c r="D58" s="78"/>
      <c r="E58" s="4"/>
      <c r="G58" s="455">
        <f>SUM(G55:G57)</f>
        <v>565575126.85593212</v>
      </c>
      <c r="H58" s="454"/>
      <c r="I58" s="4"/>
      <c r="J58" s="4"/>
      <c r="K58" s="4"/>
      <c r="L58" s="4"/>
      <c r="M58" s="4"/>
      <c r="N58" s="4"/>
      <c r="O58" s="4"/>
    </row>
    <row r="59" spans="2:16">
      <c r="B59" s="4"/>
      <c r="C59" s="445" t="str">
        <f>"   Depreciation  (TCOS, ln "&amp;TCOS!B181&amp;")"</f>
        <v xml:space="preserve">   Depreciation  (TCOS, ln 100)</v>
      </c>
      <c r="D59" s="78"/>
      <c r="E59" s="4"/>
      <c r="G59" s="464">
        <f>TCOS!L181</f>
        <v>119292909.39917004</v>
      </c>
      <c r="H59" s="454"/>
      <c r="I59" s="4"/>
      <c r="J59" s="4"/>
      <c r="K59" s="4"/>
      <c r="L59" s="4"/>
      <c r="M59" s="4"/>
      <c r="N59" s="4"/>
      <c r="O59" s="4"/>
    </row>
    <row r="60" spans="2:16">
      <c r="B60" s="4"/>
      <c r="C60" s="4" t="str">
        <f>"   Annual Rev. Req, w/"&amp;F17&amp;" Basis Point ROE increase, less Depreciation"</f>
        <v xml:space="preserve">   Annual Rev. Req, w/ Basis Point ROE increase, less Depreciation</v>
      </c>
      <c r="D60" s="78"/>
      <c r="E60" s="4"/>
      <c r="G60" s="455">
        <f>G58-G59</f>
        <v>446282217.45676208</v>
      </c>
      <c r="H60" s="454"/>
      <c r="I60" s="4"/>
      <c r="J60" s="4"/>
      <c r="K60" s="4"/>
      <c r="L60" s="4"/>
      <c r="M60" s="4"/>
      <c r="N60" s="4"/>
      <c r="O60" s="4"/>
    </row>
    <row r="61" spans="2:16">
      <c r="B61" s="4"/>
      <c r="C61" s="4"/>
      <c r="D61" s="78"/>
      <c r="E61" s="4"/>
      <c r="F61" s="4"/>
      <c r="G61" s="4"/>
      <c r="H61" s="454"/>
      <c r="I61" s="4"/>
      <c r="J61" s="4"/>
      <c r="K61" s="4"/>
      <c r="L61" s="4"/>
      <c r="M61" s="4"/>
      <c r="N61" s="4"/>
      <c r="O61" s="4"/>
    </row>
    <row r="62" spans="2:16" ht="15.75">
      <c r="B62" s="4"/>
      <c r="C62" s="416" t="str">
        <f>"C.   Determine FCR with hypothetical "&amp;F17&amp;" basis point ROE increase."</f>
        <v>C.   Determine FCR with hypothetical  basis point ROE increase.</v>
      </c>
      <c r="D62" s="78"/>
      <c r="E62" s="4"/>
      <c r="F62" s="4"/>
      <c r="G62" s="4"/>
      <c r="H62" s="454"/>
      <c r="I62" s="4"/>
      <c r="J62" s="4"/>
      <c r="K62" s="4"/>
      <c r="L62" s="4"/>
      <c r="M62" s="4"/>
      <c r="N62" s="4"/>
      <c r="O62" s="4"/>
    </row>
    <row r="63" spans="2:16">
      <c r="B63" s="4"/>
      <c r="C63" s="4"/>
      <c r="D63" s="78"/>
      <c r="E63" s="4"/>
      <c r="F63" s="4"/>
      <c r="G63" s="4"/>
      <c r="H63" s="454"/>
      <c r="I63" s="4"/>
      <c r="J63" s="4"/>
      <c r="K63" s="4"/>
      <c r="L63" s="4"/>
      <c r="M63" s="4"/>
      <c r="N63" s="4"/>
      <c r="O63" s="4"/>
    </row>
    <row r="64" spans="2:16">
      <c r="B64" s="4"/>
      <c r="C64" s="445" t="str">
        <f>"   Net Transmission Plant  (TCOS, ln "&amp;TCOS!B95&amp;")"</f>
        <v xml:space="preserve">   Net Transmission Plant  (TCOS, ln 42)</v>
      </c>
      <c r="D64" s="78"/>
      <c r="E64" s="4"/>
      <c r="G64" s="455">
        <f>TCOS!L95</f>
        <v>4050500532.9261537</v>
      </c>
      <c r="H64" s="465"/>
      <c r="I64" s="4"/>
      <c r="J64" s="4"/>
      <c r="K64" s="4"/>
      <c r="L64" s="4"/>
      <c r="M64" s="4"/>
      <c r="N64" s="4"/>
      <c r="O64" s="4"/>
    </row>
    <row r="65" spans="2:15">
      <c r="B65" s="4"/>
      <c r="C65" s="4" t="str">
        <f>"   Annual Revenue Requirement, with "&amp;F17&amp;" Basis Point ROE increase"</f>
        <v xml:space="preserve">   Annual Revenue Requirement, with  Basis Point ROE increase</v>
      </c>
      <c r="D65" s="78"/>
      <c r="E65" s="4"/>
      <c r="G65" s="455">
        <f>G58</f>
        <v>565575126.85593212</v>
      </c>
      <c r="H65" s="454"/>
      <c r="I65" s="4"/>
      <c r="J65" s="4"/>
      <c r="K65" s="4"/>
      <c r="L65" s="4"/>
      <c r="M65" s="4"/>
      <c r="N65" s="4"/>
      <c r="O65" s="4"/>
    </row>
    <row r="66" spans="2:15">
      <c r="B66" s="4"/>
      <c r="C66" s="4" t="str">
        <f>"   FCR with "&amp;F17&amp;" Basis Point increase in ROE"</f>
        <v xml:space="preserve">   FCR with  Basis Point increase in ROE</v>
      </c>
      <c r="D66" s="78"/>
      <c r="E66" s="4"/>
      <c r="G66" s="80">
        <f>G65/G64</f>
        <v>0.13963092271150759</v>
      </c>
      <c r="H66" s="454"/>
      <c r="I66" s="4"/>
      <c r="J66" s="4"/>
      <c r="K66" s="4"/>
      <c r="L66" s="4"/>
      <c r="M66" s="4"/>
      <c r="N66" s="4"/>
      <c r="O66" s="4"/>
    </row>
    <row r="67" spans="2:15">
      <c r="B67" s="4"/>
      <c r="C67" s="68"/>
      <c r="D67" s="78"/>
      <c r="E67" s="4"/>
      <c r="G67" s="4"/>
      <c r="H67" s="454"/>
      <c r="I67" s="4"/>
      <c r="J67" s="4"/>
      <c r="K67" s="4"/>
      <c r="L67" s="4"/>
      <c r="M67" s="4"/>
      <c r="N67" s="4"/>
      <c r="O67" s="4"/>
    </row>
    <row r="68" spans="2:15">
      <c r="B68" s="4"/>
      <c r="C68" s="4" t="str">
        <f>"   Annual Rev. Req, w / "&amp;F17&amp;" Basis Point ROE increase, less Dep."</f>
        <v xml:space="preserve">   Annual Rev. Req, w /  Basis Point ROE increase, less Dep.</v>
      </c>
      <c r="D68" s="78"/>
      <c r="E68" s="4"/>
      <c r="G68" s="455">
        <f>G60</f>
        <v>446282217.45676208</v>
      </c>
      <c r="H68" s="454"/>
      <c r="I68" s="4"/>
      <c r="J68" s="4"/>
      <c r="K68" s="4"/>
      <c r="L68" s="4"/>
      <c r="M68" s="4"/>
      <c r="N68" s="4"/>
      <c r="O68" s="4"/>
    </row>
    <row r="69" spans="2:15">
      <c r="B69" s="4"/>
      <c r="C69" s="4" t="str">
        <f>"   FCR with "&amp;F17&amp;" Basis Point ROE increase, less Depreciation"</f>
        <v xml:space="preserve">   FCR with  Basis Point ROE increase, less Depreciation</v>
      </c>
      <c r="D69" s="78"/>
      <c r="E69" s="4"/>
      <c r="G69" s="80">
        <f>G68/G64</f>
        <v>0.11017952320434825</v>
      </c>
      <c r="H69" s="454"/>
      <c r="I69" s="4"/>
      <c r="J69" s="4"/>
      <c r="K69" s="4"/>
      <c r="L69" s="4"/>
      <c r="M69" s="4"/>
      <c r="N69" s="4"/>
      <c r="O69" s="4"/>
    </row>
    <row r="70" spans="2:15">
      <c r="B70" s="4"/>
      <c r="C70" s="445" t="str">
        <f>"   FCR less Depreciation  (TCOS, ln "&amp;TCOS!B34&amp;")"</f>
        <v xml:space="preserve">   FCR less Depreciation  (TCOS, ln 10)</v>
      </c>
      <c r="D70" s="78"/>
      <c r="E70" s="4"/>
      <c r="G70" s="466">
        <f>TCOS!L34</f>
        <v>0.11017952320434825</v>
      </c>
      <c r="H70" s="454"/>
      <c r="I70" s="4"/>
      <c r="J70" s="4"/>
      <c r="K70" s="4"/>
      <c r="L70" s="4"/>
      <c r="M70" s="4"/>
      <c r="N70" s="4"/>
      <c r="O70" s="4"/>
    </row>
    <row r="71" spans="2:15">
      <c r="B71" s="4"/>
      <c r="C71" s="4" t="str">
        <f>"   Incremental FCR with "&amp;F17&amp;" Basis Point ROE increase, less Depreciation"</f>
        <v xml:space="preserve">   Incremental FCR with  Basis Point ROE increase, less Depreciation</v>
      </c>
      <c r="D71" s="78"/>
      <c r="E71" s="4"/>
      <c r="G71" s="80">
        <f>G69-G70</f>
        <v>0</v>
      </c>
      <c r="H71" s="454"/>
      <c r="I71" s="4"/>
      <c r="J71" s="4"/>
      <c r="K71" s="4"/>
      <c r="L71" s="4"/>
      <c r="M71" s="4"/>
      <c r="N71" s="4"/>
      <c r="O71" s="4"/>
    </row>
    <row r="72" spans="2:15">
      <c r="B72" s="4"/>
      <c r="C72" s="4"/>
      <c r="D72" s="78"/>
      <c r="E72" s="4"/>
      <c r="F72" s="80"/>
      <c r="G72" s="4"/>
      <c r="H72" s="454"/>
      <c r="I72" s="4"/>
      <c r="J72" s="4"/>
      <c r="K72" s="4"/>
      <c r="L72" s="4"/>
      <c r="M72" s="4"/>
      <c r="N72" s="4"/>
      <c r="O72" s="4"/>
    </row>
    <row r="73" spans="2:15" ht="18.75">
      <c r="B73" s="415" t="s">
        <v>173</v>
      </c>
      <c r="C73" s="13" t="s">
        <v>267</v>
      </c>
      <c r="D73" s="78"/>
      <c r="E73" s="4"/>
      <c r="F73" s="80"/>
      <c r="G73" s="4"/>
      <c r="H73" s="454"/>
      <c r="I73" s="4"/>
      <c r="J73" s="4"/>
      <c r="K73" s="4"/>
      <c r="L73" s="4"/>
      <c r="M73" s="4"/>
      <c r="N73" s="4"/>
      <c r="O73" s="4"/>
    </row>
    <row r="74" spans="2:15">
      <c r="B74" s="4"/>
      <c r="C74" s="4"/>
      <c r="D74" s="78"/>
      <c r="E74" s="4"/>
      <c r="F74" s="80"/>
      <c r="G74" s="4"/>
      <c r="H74" s="454"/>
      <c r="I74" s="4"/>
      <c r="J74" s="4"/>
      <c r="K74" s="4"/>
      <c r="L74" s="4"/>
      <c r="M74" s="4"/>
      <c r="N74" s="4"/>
      <c r="O74" s="4"/>
    </row>
    <row r="75" spans="2:15">
      <c r="B75" s="4"/>
      <c r="C75" s="4" t="str">
        <f>+"Average Transmission Plant Balance for "&amp;TCOS!L4&amp;" (TCOS, ln "&amp;TCOS!B68&amp;")"</f>
        <v>Average Transmission Plant Balance for 2025 (TCOS, ln 21)</v>
      </c>
      <c r="D75" s="78"/>
      <c r="G75" s="454">
        <f>TCOS!L68</f>
        <v>5033344077.0161533</v>
      </c>
      <c r="I75" s="4"/>
      <c r="J75" s="4"/>
      <c r="K75" s="469"/>
      <c r="L75" s="4"/>
      <c r="M75" s="4"/>
      <c r="N75" s="4"/>
      <c r="O75" s="4"/>
    </row>
    <row r="76" spans="2:15">
      <c r="B76" s="4"/>
      <c r="C76" s="467" t="str">
        <f>"Annual Depreciation and Amortization Expense  (TCOS, ln "&amp;TCOS!B181&amp;")"</f>
        <v>Annual Depreciation and Amortization Expense  (TCOS, ln 100)</v>
      </c>
      <c r="D76" s="78"/>
      <c r="E76" s="4"/>
      <c r="G76" s="468">
        <f>TCOS!L181</f>
        <v>119292909.39917004</v>
      </c>
      <c r="H76" s="454"/>
      <c r="I76" s="4"/>
      <c r="J76" s="4"/>
      <c r="K76" s="4"/>
      <c r="L76" s="4"/>
      <c r="M76" s="4"/>
      <c r="N76" s="4"/>
      <c r="O76" s="4"/>
    </row>
    <row r="77" spans="2:15">
      <c r="B77" s="4"/>
      <c r="C77" s="4" t="s">
        <v>268</v>
      </c>
      <c r="D77" s="78"/>
      <c r="E77" s="4"/>
      <c r="G77" s="80">
        <f>+G76/G75</f>
        <v>2.3700527437394817E-2</v>
      </c>
      <c r="H77" s="470"/>
      <c r="I77" s="4"/>
      <c r="J77" s="4"/>
      <c r="K77" s="4"/>
      <c r="L77" s="4"/>
      <c r="M77" s="4"/>
      <c r="N77" s="4"/>
      <c r="O77" s="4"/>
    </row>
    <row r="78" spans="2:15">
      <c r="B78" s="4"/>
      <c r="C78" s="4" t="s">
        <v>269</v>
      </c>
      <c r="D78" s="78"/>
      <c r="E78" s="4"/>
      <c r="G78" s="470">
        <f>1/G77</f>
        <v>42.193153829234816</v>
      </c>
      <c r="H78" s="454"/>
      <c r="I78" s="4"/>
      <c r="J78" s="4"/>
      <c r="K78" s="4"/>
      <c r="L78" s="4"/>
      <c r="M78" s="4"/>
      <c r="N78" s="4"/>
      <c r="O78" s="4"/>
    </row>
    <row r="79" spans="2:15">
      <c r="B79" s="4"/>
      <c r="C79" s="4" t="s">
        <v>270</v>
      </c>
      <c r="D79" s="78"/>
      <c r="E79" s="4"/>
      <c r="G79" s="471">
        <f>ROUND(G78,0)</f>
        <v>42</v>
      </c>
      <c r="H79" s="454"/>
      <c r="I79" s="4"/>
      <c r="J79" s="4"/>
      <c r="K79" s="4"/>
      <c r="L79" s="4"/>
      <c r="M79" s="4"/>
      <c r="N79" s="4"/>
      <c r="O79" s="4"/>
    </row>
    <row r="80" spans="2:15">
      <c r="B80" s="4"/>
      <c r="C80" s="4"/>
      <c r="D80" s="78"/>
      <c r="E80" s="4"/>
      <c r="G80" s="471"/>
      <c r="H80" s="454"/>
      <c r="I80" s="4"/>
      <c r="J80" s="4"/>
      <c r="K80" s="4"/>
      <c r="L80" s="4"/>
      <c r="M80" s="4"/>
      <c r="N80" s="4"/>
      <c r="O80" s="4"/>
    </row>
    <row r="83" spans="1:16" ht="20.25">
      <c r="A83" s="413" t="s">
        <v>927</v>
      </c>
      <c r="B83" s="4"/>
      <c r="C83" s="4"/>
      <c r="D83" s="78"/>
      <c r="E83" s="4"/>
      <c r="F83" s="80"/>
      <c r="G83" s="4"/>
      <c r="H83" s="930"/>
      <c r="K83" s="11"/>
      <c r="L83" s="11"/>
      <c r="M83" s="11"/>
      <c r="N83" s="11" t="str">
        <f>"Page "&amp;SUM(P$6:P83)&amp;" of "</f>
        <v xml:space="preserve">Page 2 of </v>
      </c>
      <c r="O83" s="414">
        <f>COUNT(P$6:P$59606)</f>
        <v>14</v>
      </c>
      <c r="P83" s="467">
        <v>1</v>
      </c>
    </row>
    <row r="84" spans="1:16">
      <c r="B84" s="4"/>
      <c r="C84" s="4"/>
      <c r="D84" s="78"/>
      <c r="E84" s="4"/>
      <c r="F84" s="4"/>
      <c r="G84" s="4"/>
      <c r="H84" s="930"/>
      <c r="I84" s="4"/>
      <c r="J84" s="4"/>
      <c r="K84" s="4"/>
      <c r="L84" s="4"/>
      <c r="M84" s="4"/>
      <c r="N84" s="4"/>
      <c r="O84" s="4"/>
    </row>
    <row r="85" spans="1:16" ht="18">
      <c r="B85" s="415" t="s">
        <v>174</v>
      </c>
      <c r="C85" s="474" t="s">
        <v>290</v>
      </c>
      <c r="D85" s="78"/>
      <c r="E85" s="4"/>
      <c r="F85" s="4"/>
      <c r="G85" s="4"/>
      <c r="H85" s="930"/>
      <c r="I85" s="930"/>
      <c r="J85" s="931"/>
      <c r="K85" s="930"/>
      <c r="L85" s="930"/>
      <c r="M85" s="930"/>
      <c r="N85" s="930"/>
      <c r="O85" s="4"/>
      <c r="P85" s="931"/>
    </row>
    <row r="86" spans="1:16" ht="18.75">
      <c r="B86" s="415"/>
      <c r="C86" s="13"/>
      <c r="D86" s="78"/>
      <c r="E86" s="4"/>
      <c r="F86" s="4"/>
      <c r="G86" s="4"/>
      <c r="H86" s="930"/>
      <c r="I86" s="930"/>
      <c r="J86" s="931"/>
      <c r="K86" s="930"/>
      <c r="L86" s="930"/>
      <c r="M86" s="930"/>
      <c r="N86" s="930"/>
      <c r="O86" s="4"/>
      <c r="P86" s="931"/>
    </row>
    <row r="87" spans="1:16" ht="18.75">
      <c r="B87" s="415"/>
      <c r="C87" s="13" t="s">
        <v>291</v>
      </c>
      <c r="D87" s="78"/>
      <c r="E87" s="4"/>
      <c r="F87" s="4"/>
      <c r="G87" s="4"/>
      <c r="H87" s="930"/>
      <c r="I87" s="930"/>
      <c r="J87" s="931"/>
      <c r="K87" s="930"/>
      <c r="L87" s="930"/>
      <c r="M87" s="930"/>
      <c r="N87" s="930"/>
      <c r="O87" s="4"/>
      <c r="P87" s="931"/>
    </row>
    <row r="88" spans="1:16" ht="15.75" thickBot="1">
      <c r="C88" s="250"/>
      <c r="D88" s="78"/>
      <c r="E88" s="4"/>
      <c r="F88" s="4"/>
      <c r="G88" s="4"/>
      <c r="H88" s="930"/>
      <c r="I88" s="930"/>
      <c r="J88" s="931"/>
      <c r="K88" s="930"/>
      <c r="L88" s="930"/>
      <c r="M88" s="930"/>
      <c r="N88" s="930"/>
      <c r="O88" s="4"/>
      <c r="P88" s="931"/>
    </row>
    <row r="89" spans="1:16" ht="15.75">
      <c r="C89" s="416" t="s">
        <v>292</v>
      </c>
      <c r="D89" s="78"/>
      <c r="E89" s="4"/>
      <c r="F89" s="4"/>
      <c r="G89" s="932"/>
      <c r="H89" s="4" t="s">
        <v>271</v>
      </c>
      <c r="I89" s="4"/>
      <c r="J89" s="4"/>
      <c r="K89" s="475" t="s">
        <v>296</v>
      </c>
      <c r="L89" s="476"/>
      <c r="M89" s="477"/>
      <c r="N89" s="933">
        <f>VLOOKUP(I95,C102:O161,5)</f>
        <v>1485874.4108914817</v>
      </c>
      <c r="O89" s="4"/>
    </row>
    <row r="90" spans="1:16" ht="15.75">
      <c r="C90" s="416"/>
      <c r="D90" s="78"/>
      <c r="E90" s="4"/>
      <c r="F90" s="4"/>
      <c r="G90" s="4"/>
      <c r="H90" s="934"/>
      <c r="I90" s="934"/>
      <c r="J90" s="935"/>
      <c r="K90" s="480" t="s">
        <v>297</v>
      </c>
      <c r="L90" s="936"/>
      <c r="M90" s="4"/>
      <c r="N90" s="937">
        <f>VLOOKUP(I95,C102:O161,6)</f>
        <v>1485874.4108914817</v>
      </c>
      <c r="O90" s="4"/>
      <c r="P90" s="935"/>
    </row>
    <row r="91" spans="1:16" ht="13.5" thickBot="1">
      <c r="C91" s="481" t="s">
        <v>293</v>
      </c>
      <c r="D91" s="1304" t="s">
        <v>928</v>
      </c>
      <c r="E91" s="1304"/>
      <c r="F91" s="1304"/>
      <c r="G91" s="1304"/>
      <c r="H91" s="930"/>
      <c r="I91" s="930"/>
      <c r="J91" s="931"/>
      <c r="K91" s="938" t="s">
        <v>450</v>
      </c>
      <c r="L91" s="939"/>
      <c r="M91" s="939"/>
      <c r="N91" s="940">
        <f>+N90-N89</f>
        <v>0</v>
      </c>
      <c r="O91" s="4"/>
      <c r="P91" s="931"/>
    </row>
    <row r="92" spans="1:16">
      <c r="C92" s="483"/>
      <c r="D92" s="484"/>
      <c r="E92" s="471"/>
      <c r="F92" s="471"/>
      <c r="G92" s="485"/>
      <c r="H92" s="930"/>
      <c r="I92" s="930"/>
      <c r="J92" s="931"/>
      <c r="K92" s="930"/>
      <c r="L92" s="930"/>
      <c r="M92" s="930"/>
      <c r="N92" s="930"/>
      <c r="O92" s="4"/>
      <c r="P92" s="931"/>
    </row>
    <row r="93" spans="1:16" ht="13.5" thickBot="1">
      <c r="C93" s="483"/>
      <c r="D93" s="4"/>
      <c r="E93" s="485"/>
      <c r="F93" s="485"/>
      <c r="G93" s="485"/>
      <c r="H93" s="485"/>
      <c r="I93" s="485"/>
      <c r="J93" s="485"/>
      <c r="K93" s="485"/>
      <c r="L93" s="485"/>
      <c r="M93" s="485"/>
      <c r="N93" s="485"/>
      <c r="O93" s="4"/>
      <c r="P93" s="485"/>
    </row>
    <row r="94" spans="1:16" ht="13.5" thickBot="1">
      <c r="B94" s="486"/>
      <c r="C94" s="487" t="s">
        <v>294</v>
      </c>
      <c r="D94" s="488"/>
      <c r="E94" s="488"/>
      <c r="F94" s="488"/>
      <c r="G94" s="488"/>
      <c r="H94" s="488"/>
      <c r="I94" s="489"/>
      <c r="K94" s="4"/>
      <c r="L94" s="4"/>
      <c r="M94" s="4"/>
      <c r="N94" s="4"/>
      <c r="O94" s="4"/>
    </row>
    <row r="95" spans="1:16" ht="15">
      <c r="B95" s="486"/>
      <c r="C95" s="490" t="s">
        <v>272</v>
      </c>
      <c r="D95" s="941">
        <v>13789272</v>
      </c>
      <c r="E95" s="4" t="s">
        <v>273</v>
      </c>
      <c r="G95" s="78"/>
      <c r="H95" s="78"/>
      <c r="I95" s="491">
        <v>2018</v>
      </c>
      <c r="J95" s="134"/>
      <c r="K95" s="1302" t="s">
        <v>459</v>
      </c>
      <c r="L95" s="1302"/>
      <c r="M95" s="1302"/>
      <c r="N95" s="1302"/>
      <c r="O95" s="1302"/>
      <c r="P95" s="134"/>
    </row>
    <row r="96" spans="1:16">
      <c r="B96" s="486"/>
      <c r="C96" s="490" t="s">
        <v>275</v>
      </c>
      <c r="D96" s="644">
        <v>2008</v>
      </c>
      <c r="E96" s="490" t="s">
        <v>276</v>
      </c>
      <c r="F96" s="78"/>
      <c r="H96"/>
      <c r="I96" s="647">
        <f>IF(G89="",0,$F$15)</f>
        <v>0</v>
      </c>
      <c r="J96" s="492"/>
      <c r="K96" s="931" t="s">
        <v>459</v>
      </c>
      <c r="P96" s="492"/>
    </row>
    <row r="97" spans="1:16">
      <c r="B97" s="486"/>
      <c r="C97" s="490" t="s">
        <v>277</v>
      </c>
      <c r="D97" s="942">
        <v>6</v>
      </c>
      <c r="E97" s="490" t="s">
        <v>278</v>
      </c>
      <c r="F97" s="78"/>
      <c r="H97"/>
      <c r="I97" s="493">
        <f>$G$70</f>
        <v>0.11017952320434825</v>
      </c>
      <c r="J97" s="80"/>
      <c r="K97" t="str">
        <f>"          INPUT PROJECTED ARR (WITH &amp; WITHOUT INCENTIVES) FROM EACH PRIOR YEAR"</f>
        <v xml:space="preserve">          INPUT PROJECTED ARR (WITH &amp; WITHOUT INCENTIVES) FROM EACH PRIOR YEAR</v>
      </c>
      <c r="P97" s="80"/>
    </row>
    <row r="98" spans="1:16">
      <c r="B98" s="486"/>
      <c r="C98" s="490" t="s">
        <v>279</v>
      </c>
      <c r="D98" s="494">
        <f>G$79</f>
        <v>42</v>
      </c>
      <c r="E98" s="490" t="s">
        <v>280</v>
      </c>
      <c r="F98" s="78"/>
      <c r="H98"/>
      <c r="I98" s="493">
        <f>IF(G89="",I97,$G$67)</f>
        <v>0.11017952320434825</v>
      </c>
      <c r="J98" s="80"/>
      <c r="K98" t="s">
        <v>357</v>
      </c>
      <c r="P98" s="80"/>
    </row>
    <row r="99" spans="1:16" ht="13.5" thickBot="1">
      <c r="B99" s="486"/>
      <c r="C99" s="490" t="s">
        <v>281</v>
      </c>
      <c r="D99" s="646" t="s">
        <v>929</v>
      </c>
      <c r="E99" s="495" t="s">
        <v>282</v>
      </c>
      <c r="F99" s="496"/>
      <c r="G99" s="497"/>
      <c r="H99" s="497"/>
      <c r="I99" s="940">
        <f>IF(D95=0,0,D95/D98)</f>
        <v>328316</v>
      </c>
      <c r="J99" s="931"/>
      <c r="K99" s="931" t="s">
        <v>363</v>
      </c>
      <c r="L99" s="931"/>
      <c r="M99" s="931"/>
      <c r="N99" s="931"/>
      <c r="O99" s="4"/>
      <c r="P99" s="931"/>
    </row>
    <row r="100" spans="1:16" ht="51">
      <c r="A100" s="12"/>
      <c r="B100" s="12"/>
      <c r="C100" s="498" t="s">
        <v>272</v>
      </c>
      <c r="D100" s="943" t="s">
        <v>283</v>
      </c>
      <c r="E100" s="944" t="s">
        <v>284</v>
      </c>
      <c r="F100" s="943" t="s">
        <v>285</v>
      </c>
      <c r="G100" s="944" t="s">
        <v>356</v>
      </c>
      <c r="H100" s="945" t="s">
        <v>356</v>
      </c>
      <c r="I100" s="498" t="s">
        <v>295</v>
      </c>
      <c r="J100" s="502"/>
      <c r="K100" s="944" t="s">
        <v>365</v>
      </c>
      <c r="L100" s="946"/>
      <c r="M100" s="944" t="s">
        <v>365</v>
      </c>
      <c r="N100" s="946"/>
      <c r="O100" s="946"/>
      <c r="P100" s="127"/>
    </row>
    <row r="101" spans="1:16" ht="13.5" thickBot="1">
      <c r="C101" s="503" t="s">
        <v>177</v>
      </c>
      <c r="D101" s="504" t="s">
        <v>178</v>
      </c>
      <c r="E101" s="503" t="s">
        <v>37</v>
      </c>
      <c r="F101" s="504" t="s">
        <v>178</v>
      </c>
      <c r="G101" s="947" t="s">
        <v>298</v>
      </c>
      <c r="H101" s="948" t="s">
        <v>300</v>
      </c>
      <c r="I101" s="503" t="s">
        <v>389</v>
      </c>
      <c r="J101" s="507"/>
      <c r="K101" s="947" t="s">
        <v>287</v>
      </c>
      <c r="L101" s="949"/>
      <c r="M101" s="947" t="s">
        <v>300</v>
      </c>
      <c r="N101" s="949"/>
      <c r="O101" s="949"/>
      <c r="P101" s="134"/>
    </row>
    <row r="102" spans="1:16">
      <c r="C102" s="508">
        <f>IF(D96= "","-",D96)</f>
        <v>2008</v>
      </c>
      <c r="D102" s="471">
        <f>+D95</f>
        <v>13789272</v>
      </c>
      <c r="E102" s="950">
        <f>+I99/12*(12-D97)</f>
        <v>164158</v>
      </c>
      <c r="F102" s="471">
        <f t="shared" ref="F102:F161" si="0">+D102-E102</f>
        <v>13625114</v>
      </c>
      <c r="G102" s="951">
        <f>+$I$97*((D102+F102)/2)+E102</f>
        <v>1674409.9892099798</v>
      </c>
      <c r="H102" s="952">
        <f>+$I$98*((D102+F102)/2)+E102</f>
        <v>1674409.9892099798</v>
      </c>
      <c r="I102" s="512">
        <f>+H102-G102</f>
        <v>0</v>
      </c>
      <c r="J102" s="512"/>
      <c r="K102" s="648"/>
      <c r="L102" s="514"/>
      <c r="M102" s="648"/>
      <c r="N102" s="514"/>
      <c r="O102" s="514"/>
      <c r="P102" s="473"/>
    </row>
    <row r="103" spans="1:16">
      <c r="C103" s="508">
        <f>IF(D96="","-",+C102+1)</f>
        <v>2009</v>
      </c>
      <c r="D103" s="471">
        <f t="shared" ref="D103:D161" si="1">F102</f>
        <v>13625114</v>
      </c>
      <c r="E103" s="515">
        <f>IF(D103&gt;$I$99,$I$99,D103)</f>
        <v>328316</v>
      </c>
      <c r="F103" s="471">
        <f t="shared" si="0"/>
        <v>13296798</v>
      </c>
      <c r="G103" s="950">
        <f t="shared" ref="G103:G161" si="2">+$I$97*((D103+F103)/2)+E103</f>
        <v>1811437.7139547109</v>
      </c>
      <c r="H103" s="953">
        <f t="shared" ref="H103:H161" si="3">+$I$98*((D103+F103)/2)+E103</f>
        <v>1811437.7139547109</v>
      </c>
      <c r="I103" s="512">
        <f t="shared" ref="I103:I161" si="4">+H103-G103</f>
        <v>0</v>
      </c>
      <c r="J103" s="512"/>
      <c r="K103" s="649">
        <v>1124469.1016438</v>
      </c>
      <c r="L103" s="518"/>
      <c r="M103" s="649">
        <v>1124469.1016438</v>
      </c>
      <c r="N103" s="518"/>
      <c r="O103" s="518"/>
      <c r="P103" s="473"/>
    </row>
    <row r="104" spans="1:16">
      <c r="C104" s="508">
        <f>IF(D96="","-",+C103+1)</f>
        <v>2010</v>
      </c>
      <c r="D104" s="471">
        <f t="shared" si="1"/>
        <v>13296798</v>
      </c>
      <c r="E104" s="515">
        <f t="shared" ref="E104:E161" si="5">IF(D104&gt;$I$99,$I$99,D104)</f>
        <v>328316</v>
      </c>
      <c r="F104" s="471">
        <f t="shared" si="0"/>
        <v>12968482</v>
      </c>
      <c r="G104" s="950">
        <f t="shared" si="2"/>
        <v>1775264.0136143519</v>
      </c>
      <c r="H104" s="953">
        <f t="shared" si="3"/>
        <v>1775264.0136143519</v>
      </c>
      <c r="I104" s="512">
        <f t="shared" si="4"/>
        <v>0</v>
      </c>
      <c r="J104" s="512"/>
      <c r="K104" s="649">
        <v>2027403</v>
      </c>
      <c r="L104" s="518"/>
      <c r="M104" s="649">
        <v>2027403</v>
      </c>
      <c r="N104" s="518"/>
      <c r="O104" s="518"/>
      <c r="P104" s="473"/>
    </row>
    <row r="105" spans="1:16">
      <c r="C105" s="508">
        <f>IF(D96="","-",+C104+1)</f>
        <v>2011</v>
      </c>
      <c r="D105" s="471">
        <f t="shared" si="1"/>
        <v>12968482</v>
      </c>
      <c r="E105" s="515">
        <f t="shared" si="5"/>
        <v>328316</v>
      </c>
      <c r="F105" s="471">
        <f t="shared" si="0"/>
        <v>12640166</v>
      </c>
      <c r="G105" s="950">
        <f t="shared" si="2"/>
        <v>1739090.3132739931</v>
      </c>
      <c r="H105" s="953">
        <f t="shared" si="3"/>
        <v>1739090.3132739931</v>
      </c>
      <c r="I105" s="512">
        <f t="shared" si="4"/>
        <v>0</v>
      </c>
      <c r="J105" s="512"/>
      <c r="K105" s="649">
        <v>2050107</v>
      </c>
      <c r="L105" s="518"/>
      <c r="M105" s="649">
        <v>2050107</v>
      </c>
      <c r="N105" s="518"/>
      <c r="O105" s="518"/>
      <c r="P105" s="473"/>
    </row>
    <row r="106" spans="1:16">
      <c r="C106" s="508">
        <f>IF(D96="","-",+C105+1)</f>
        <v>2012</v>
      </c>
      <c r="D106" s="471">
        <f t="shared" si="1"/>
        <v>12640166</v>
      </c>
      <c r="E106" s="515">
        <f t="shared" si="5"/>
        <v>328316</v>
      </c>
      <c r="F106" s="471">
        <f t="shared" si="0"/>
        <v>12311850</v>
      </c>
      <c r="G106" s="950">
        <f t="shared" si="2"/>
        <v>1702916.6129336343</v>
      </c>
      <c r="H106" s="953">
        <f t="shared" si="3"/>
        <v>1702916.6129336343</v>
      </c>
      <c r="I106" s="512">
        <f t="shared" si="4"/>
        <v>0</v>
      </c>
      <c r="J106" s="512"/>
      <c r="K106" s="649">
        <v>1906118.0340840491</v>
      </c>
      <c r="L106" s="518"/>
      <c r="M106" s="649">
        <v>1906118.0340840491</v>
      </c>
      <c r="N106" s="518"/>
      <c r="O106" s="518"/>
      <c r="P106" s="473"/>
    </row>
    <row r="107" spans="1:16">
      <c r="C107" s="508">
        <f>IF(D96="","-",+C106+1)</f>
        <v>2013</v>
      </c>
      <c r="D107" s="471">
        <f t="shared" si="1"/>
        <v>12311850</v>
      </c>
      <c r="E107" s="515">
        <f t="shared" si="5"/>
        <v>328316</v>
      </c>
      <c r="F107" s="471">
        <f t="shared" si="0"/>
        <v>11983534</v>
      </c>
      <c r="G107" s="950">
        <f t="shared" si="2"/>
        <v>1666742.9125932755</v>
      </c>
      <c r="H107" s="953">
        <f t="shared" si="3"/>
        <v>1666742.9125932755</v>
      </c>
      <c r="I107" s="512">
        <f t="shared" si="4"/>
        <v>0</v>
      </c>
      <c r="J107" s="512"/>
      <c r="K107" s="649">
        <v>1915150</v>
      </c>
      <c r="L107" s="518"/>
      <c r="M107" s="649">
        <v>1915150</v>
      </c>
      <c r="N107" s="518"/>
      <c r="O107" s="518"/>
      <c r="P107" s="473"/>
    </row>
    <row r="108" spans="1:16">
      <c r="C108" s="508">
        <f>IF(D96="","-",+C107+1)</f>
        <v>2014</v>
      </c>
      <c r="D108" s="471">
        <f>F107</f>
        <v>11983534</v>
      </c>
      <c r="E108" s="515">
        <f t="shared" si="5"/>
        <v>328316</v>
      </c>
      <c r="F108" s="471">
        <f t="shared" si="0"/>
        <v>11655218</v>
      </c>
      <c r="G108" s="950">
        <f t="shared" si="2"/>
        <v>1630569.2122529168</v>
      </c>
      <c r="H108" s="953">
        <f t="shared" si="3"/>
        <v>1630569.2122529168</v>
      </c>
      <c r="I108" s="512">
        <f t="shared" si="4"/>
        <v>0</v>
      </c>
      <c r="J108" s="512"/>
      <c r="K108" s="649">
        <v>1778172</v>
      </c>
      <c r="L108" s="518"/>
      <c r="M108" s="649">
        <v>1778172</v>
      </c>
      <c r="N108" s="518"/>
      <c r="O108" s="518"/>
      <c r="P108" s="473"/>
    </row>
    <row r="109" spans="1:16">
      <c r="C109" s="508">
        <f>IF(D96="","-",+C108+1)</f>
        <v>2015</v>
      </c>
      <c r="D109" s="471">
        <f t="shared" si="1"/>
        <v>11655218</v>
      </c>
      <c r="E109" s="515">
        <f t="shared" si="5"/>
        <v>328316</v>
      </c>
      <c r="F109" s="471">
        <f t="shared" si="0"/>
        <v>11326902</v>
      </c>
      <c r="G109" s="950">
        <f t="shared" si="2"/>
        <v>1594395.511912558</v>
      </c>
      <c r="H109" s="953">
        <f t="shared" si="3"/>
        <v>1594395.511912558</v>
      </c>
      <c r="I109" s="512">
        <f t="shared" si="4"/>
        <v>0</v>
      </c>
      <c r="J109" s="512"/>
      <c r="K109" s="649">
        <v>1790894</v>
      </c>
      <c r="L109" s="518"/>
      <c r="M109" s="649">
        <v>1790894</v>
      </c>
      <c r="N109" s="518"/>
      <c r="O109" s="518"/>
      <c r="P109" s="473"/>
    </row>
    <row r="110" spans="1:16">
      <c r="C110" s="508">
        <f>IF(D96="","-",+C109+1)</f>
        <v>2016</v>
      </c>
      <c r="D110" s="471">
        <f t="shared" si="1"/>
        <v>11326902</v>
      </c>
      <c r="E110" s="515">
        <f t="shared" si="5"/>
        <v>328316</v>
      </c>
      <c r="F110" s="471">
        <f t="shared" si="0"/>
        <v>10998586</v>
      </c>
      <c r="G110" s="950">
        <f t="shared" si="2"/>
        <v>1558221.8115721992</v>
      </c>
      <c r="H110" s="953">
        <f t="shared" si="3"/>
        <v>1558221.8115721992</v>
      </c>
      <c r="I110" s="512">
        <f t="shared" si="4"/>
        <v>0</v>
      </c>
      <c r="J110" s="512"/>
      <c r="K110" s="649">
        <v>1719834</v>
      </c>
      <c r="L110" s="518"/>
      <c r="M110" s="649">
        <v>1719834</v>
      </c>
      <c r="N110" s="518"/>
      <c r="O110" s="518"/>
      <c r="P110" s="473"/>
    </row>
    <row r="111" spans="1:16">
      <c r="C111" s="508">
        <f>IF(D96="","-",+C110+1)</f>
        <v>2017</v>
      </c>
      <c r="D111" s="471">
        <f t="shared" si="1"/>
        <v>10998586</v>
      </c>
      <c r="E111" s="515">
        <f t="shared" si="5"/>
        <v>328316</v>
      </c>
      <c r="F111" s="471">
        <f t="shared" si="0"/>
        <v>10670270</v>
      </c>
      <c r="G111" s="950">
        <f t="shared" si="2"/>
        <v>1522048.1112318404</v>
      </c>
      <c r="H111" s="953">
        <f t="shared" si="3"/>
        <v>1522048.1112318404</v>
      </c>
      <c r="I111" s="512">
        <f t="shared" si="4"/>
        <v>0</v>
      </c>
      <c r="J111" s="512"/>
      <c r="K111" s="649">
        <v>1790894</v>
      </c>
      <c r="L111" s="518"/>
      <c r="M111" s="649">
        <v>1790894</v>
      </c>
      <c r="N111" s="518"/>
      <c r="O111" s="518"/>
      <c r="P111" s="473"/>
    </row>
    <row r="112" spans="1:16">
      <c r="C112" s="954">
        <f>IF(D96="","-",+C111+1)</f>
        <v>2018</v>
      </c>
      <c r="D112" s="955">
        <f t="shared" si="1"/>
        <v>10670270</v>
      </c>
      <c r="E112" s="956">
        <f t="shared" si="5"/>
        <v>328316</v>
      </c>
      <c r="F112" s="955">
        <f t="shared" si="0"/>
        <v>10341954</v>
      </c>
      <c r="G112" s="957">
        <f t="shared" si="2"/>
        <v>1485874.4108914817</v>
      </c>
      <c r="H112" s="958">
        <f t="shared" si="3"/>
        <v>1485874.4108914817</v>
      </c>
      <c r="I112" s="512">
        <f t="shared" si="4"/>
        <v>0</v>
      </c>
      <c r="J112" s="512"/>
      <c r="K112" s="649"/>
      <c r="L112" s="518"/>
      <c r="M112" s="649"/>
      <c r="N112" s="518"/>
      <c r="O112" s="518"/>
      <c r="P112" s="473"/>
    </row>
    <row r="113" spans="3:16">
      <c r="C113" s="508">
        <f>IF(D96="","-",+C112+1)</f>
        <v>2019</v>
      </c>
      <c r="D113" s="471">
        <f t="shared" si="1"/>
        <v>10341954</v>
      </c>
      <c r="E113" s="515">
        <f t="shared" si="5"/>
        <v>328316</v>
      </c>
      <c r="F113" s="471">
        <f t="shared" si="0"/>
        <v>10013638</v>
      </c>
      <c r="G113" s="950">
        <f t="shared" si="2"/>
        <v>1449700.7105511227</v>
      </c>
      <c r="H113" s="953">
        <f t="shared" si="3"/>
        <v>1449700.7105511227</v>
      </c>
      <c r="I113" s="512">
        <f t="shared" si="4"/>
        <v>0</v>
      </c>
      <c r="J113" s="512"/>
      <c r="K113" s="649"/>
      <c r="L113" s="518"/>
      <c r="M113" s="649"/>
      <c r="N113" s="518"/>
      <c r="O113" s="518"/>
      <c r="P113" s="473"/>
    </row>
    <row r="114" spans="3:16">
      <c r="C114" s="508">
        <f>IF(D96="","-",+C113+1)</f>
        <v>2020</v>
      </c>
      <c r="D114" s="471">
        <f t="shared" si="1"/>
        <v>10013638</v>
      </c>
      <c r="E114" s="515">
        <f t="shared" si="5"/>
        <v>328316</v>
      </c>
      <c r="F114" s="471">
        <f t="shared" si="0"/>
        <v>9685322</v>
      </c>
      <c r="G114" s="950">
        <f t="shared" si="2"/>
        <v>1413527.0102107639</v>
      </c>
      <c r="H114" s="953">
        <f t="shared" si="3"/>
        <v>1413527.0102107639</v>
      </c>
      <c r="I114" s="512">
        <f t="shared" si="4"/>
        <v>0</v>
      </c>
      <c r="J114" s="512"/>
      <c r="K114" s="649"/>
      <c r="L114" s="518"/>
      <c r="M114" s="649"/>
      <c r="N114" s="519"/>
      <c r="O114" s="518"/>
      <c r="P114" s="473"/>
    </row>
    <row r="115" spans="3:16">
      <c r="C115" s="508">
        <f>IF(D96="","-",+C114+1)</f>
        <v>2021</v>
      </c>
      <c r="D115" s="471">
        <f t="shared" si="1"/>
        <v>9685322</v>
      </c>
      <c r="E115" s="515">
        <f t="shared" si="5"/>
        <v>328316</v>
      </c>
      <c r="F115" s="471">
        <f t="shared" si="0"/>
        <v>9357006</v>
      </c>
      <c r="G115" s="950">
        <f t="shared" si="2"/>
        <v>1377353.3098704051</v>
      </c>
      <c r="H115" s="953">
        <f t="shared" si="3"/>
        <v>1377353.3098704051</v>
      </c>
      <c r="I115" s="512">
        <f t="shared" si="4"/>
        <v>0</v>
      </c>
      <c r="J115" s="512"/>
      <c r="K115" s="649"/>
      <c r="L115" s="518"/>
      <c r="M115" s="649"/>
      <c r="N115" s="518"/>
      <c r="O115" s="518"/>
      <c r="P115" s="473"/>
    </row>
    <row r="116" spans="3:16">
      <c r="C116" s="508">
        <f>IF(D96="","-",+C115+1)</f>
        <v>2022</v>
      </c>
      <c r="D116" s="471">
        <f t="shared" si="1"/>
        <v>9357006</v>
      </c>
      <c r="E116" s="515">
        <f t="shared" si="5"/>
        <v>328316</v>
      </c>
      <c r="F116" s="471">
        <f t="shared" si="0"/>
        <v>9028690</v>
      </c>
      <c r="G116" s="950">
        <f t="shared" si="2"/>
        <v>1341179.6095300463</v>
      </c>
      <c r="H116" s="953">
        <f t="shared" si="3"/>
        <v>1341179.6095300463</v>
      </c>
      <c r="I116" s="512">
        <f t="shared" si="4"/>
        <v>0</v>
      </c>
      <c r="J116" s="512"/>
      <c r="K116" s="649"/>
      <c r="L116" s="518"/>
      <c r="M116" s="649"/>
      <c r="N116" s="518"/>
      <c r="O116" s="518"/>
      <c r="P116" s="473"/>
    </row>
    <row r="117" spans="3:16">
      <c r="C117" s="508">
        <f>IF(D96="","-",+C116+1)</f>
        <v>2023</v>
      </c>
      <c r="D117" s="471">
        <f t="shared" si="1"/>
        <v>9028690</v>
      </c>
      <c r="E117" s="515">
        <f t="shared" si="5"/>
        <v>328316</v>
      </c>
      <c r="F117" s="471">
        <f t="shared" si="0"/>
        <v>8700374</v>
      </c>
      <c r="G117" s="950">
        <f t="shared" si="2"/>
        <v>1305005.9091896876</v>
      </c>
      <c r="H117" s="953">
        <f t="shared" si="3"/>
        <v>1305005.9091896876</v>
      </c>
      <c r="I117" s="512">
        <f t="shared" si="4"/>
        <v>0</v>
      </c>
      <c r="J117" s="512"/>
      <c r="K117" s="649"/>
      <c r="L117" s="518"/>
      <c r="M117" s="649"/>
      <c r="N117" s="518"/>
      <c r="O117" s="518"/>
      <c r="P117" s="473"/>
    </row>
    <row r="118" spans="3:16">
      <c r="C118" s="508">
        <f>IF(D96="","-",+C117+1)</f>
        <v>2024</v>
      </c>
      <c r="D118" s="471">
        <f t="shared" si="1"/>
        <v>8700374</v>
      </c>
      <c r="E118" s="515">
        <f t="shared" si="5"/>
        <v>328316</v>
      </c>
      <c r="F118" s="471">
        <f t="shared" si="0"/>
        <v>8372058</v>
      </c>
      <c r="G118" s="950">
        <f t="shared" si="2"/>
        <v>1268832.2088493288</v>
      </c>
      <c r="H118" s="953">
        <f t="shared" si="3"/>
        <v>1268832.2088493288</v>
      </c>
      <c r="I118" s="512">
        <f t="shared" si="4"/>
        <v>0</v>
      </c>
      <c r="J118" s="512"/>
      <c r="K118" s="649"/>
      <c r="L118" s="518"/>
      <c r="M118" s="649"/>
      <c r="N118" s="518"/>
      <c r="O118" s="518"/>
      <c r="P118" s="473"/>
    </row>
    <row r="119" spans="3:16">
      <c r="C119" s="508">
        <f>IF(D96="","-",+C118+1)</f>
        <v>2025</v>
      </c>
      <c r="D119" s="471">
        <f t="shared" si="1"/>
        <v>8372058</v>
      </c>
      <c r="E119" s="515">
        <f t="shared" si="5"/>
        <v>328316</v>
      </c>
      <c r="F119" s="471">
        <f t="shared" si="0"/>
        <v>8043742</v>
      </c>
      <c r="G119" s="950">
        <f t="shared" si="2"/>
        <v>1232658.50850897</v>
      </c>
      <c r="H119" s="953">
        <f t="shared" si="3"/>
        <v>1232658.50850897</v>
      </c>
      <c r="I119" s="512">
        <f t="shared" si="4"/>
        <v>0</v>
      </c>
      <c r="J119" s="512"/>
      <c r="K119" s="649"/>
      <c r="L119" s="518"/>
      <c r="M119" s="649"/>
      <c r="N119" s="518"/>
      <c r="O119" s="518"/>
      <c r="P119" s="473"/>
    </row>
    <row r="120" spans="3:16">
      <c r="C120" s="508">
        <f>IF(D96="","-",+C119+1)</f>
        <v>2026</v>
      </c>
      <c r="D120" s="471">
        <f t="shared" si="1"/>
        <v>8043742</v>
      </c>
      <c r="E120" s="515">
        <f t="shared" si="5"/>
        <v>328316</v>
      </c>
      <c r="F120" s="471">
        <f t="shared" si="0"/>
        <v>7715426</v>
      </c>
      <c r="G120" s="950">
        <f t="shared" si="2"/>
        <v>1196484.808168611</v>
      </c>
      <c r="H120" s="953">
        <f t="shared" si="3"/>
        <v>1196484.808168611</v>
      </c>
      <c r="I120" s="512">
        <f t="shared" si="4"/>
        <v>0</v>
      </c>
      <c r="J120" s="512"/>
      <c r="K120" s="649"/>
      <c r="L120" s="518"/>
      <c r="M120" s="649"/>
      <c r="N120" s="518"/>
      <c r="O120" s="518"/>
      <c r="P120" s="473"/>
    </row>
    <row r="121" spans="3:16">
      <c r="C121" s="508">
        <f>IF(D96="","-",+C120+1)</f>
        <v>2027</v>
      </c>
      <c r="D121" s="471">
        <f t="shared" si="1"/>
        <v>7715426</v>
      </c>
      <c r="E121" s="515">
        <f t="shared" si="5"/>
        <v>328316</v>
      </c>
      <c r="F121" s="471">
        <f t="shared" si="0"/>
        <v>7387110</v>
      </c>
      <c r="G121" s="950">
        <f t="shared" si="2"/>
        <v>1160311.1078282525</v>
      </c>
      <c r="H121" s="953">
        <f t="shared" si="3"/>
        <v>1160311.1078282525</v>
      </c>
      <c r="I121" s="512">
        <f t="shared" si="4"/>
        <v>0</v>
      </c>
      <c r="J121" s="512"/>
      <c r="K121" s="649"/>
      <c r="L121" s="518"/>
      <c r="M121" s="649"/>
      <c r="N121" s="518"/>
      <c r="O121" s="518"/>
      <c r="P121" s="473"/>
    </row>
    <row r="122" spans="3:16">
      <c r="C122" s="508">
        <f>IF(D96="","-",+C121+1)</f>
        <v>2028</v>
      </c>
      <c r="D122" s="471">
        <f t="shared" si="1"/>
        <v>7387110</v>
      </c>
      <c r="E122" s="515">
        <f t="shared" si="5"/>
        <v>328316</v>
      </c>
      <c r="F122" s="471">
        <f t="shared" si="0"/>
        <v>7058794</v>
      </c>
      <c r="G122" s="950">
        <f t="shared" si="2"/>
        <v>1124137.4074878935</v>
      </c>
      <c r="H122" s="953">
        <f t="shared" si="3"/>
        <v>1124137.4074878935</v>
      </c>
      <c r="I122" s="512">
        <f t="shared" si="4"/>
        <v>0</v>
      </c>
      <c r="J122" s="512"/>
      <c r="K122" s="649"/>
      <c r="L122" s="518"/>
      <c r="M122" s="649"/>
      <c r="N122" s="518"/>
      <c r="O122" s="518"/>
      <c r="P122" s="473"/>
    </row>
    <row r="123" spans="3:16">
      <c r="C123" s="508">
        <f>IF(D96="","-",+C122+1)</f>
        <v>2029</v>
      </c>
      <c r="D123" s="471">
        <f t="shared" si="1"/>
        <v>7058794</v>
      </c>
      <c r="E123" s="515">
        <f t="shared" si="5"/>
        <v>328316</v>
      </c>
      <c r="F123" s="471">
        <f t="shared" si="0"/>
        <v>6730478</v>
      </c>
      <c r="G123" s="950">
        <f t="shared" si="2"/>
        <v>1087963.7071475349</v>
      </c>
      <c r="H123" s="953">
        <f t="shared" si="3"/>
        <v>1087963.7071475349</v>
      </c>
      <c r="I123" s="512">
        <f t="shared" si="4"/>
        <v>0</v>
      </c>
      <c r="J123" s="512"/>
      <c r="K123" s="649"/>
      <c r="L123" s="518"/>
      <c r="M123" s="649"/>
      <c r="N123" s="518"/>
      <c r="O123" s="518"/>
      <c r="P123" s="473"/>
    </row>
    <row r="124" spans="3:16">
      <c r="C124" s="508">
        <f>IF(D96="","-",+C123+1)</f>
        <v>2030</v>
      </c>
      <c r="D124" s="471">
        <f t="shared" si="1"/>
        <v>6730478</v>
      </c>
      <c r="E124" s="515">
        <f t="shared" si="5"/>
        <v>328316</v>
      </c>
      <c r="F124" s="471">
        <f t="shared" si="0"/>
        <v>6402162</v>
      </c>
      <c r="G124" s="950">
        <f t="shared" si="2"/>
        <v>1051790.0068071759</v>
      </c>
      <c r="H124" s="953">
        <f t="shared" si="3"/>
        <v>1051790.0068071759</v>
      </c>
      <c r="I124" s="512">
        <f t="shared" si="4"/>
        <v>0</v>
      </c>
      <c r="J124" s="512"/>
      <c r="K124" s="649"/>
      <c r="L124" s="518"/>
      <c r="M124" s="649"/>
      <c r="N124" s="518"/>
      <c r="O124" s="518"/>
      <c r="P124" s="473"/>
    </row>
    <row r="125" spans="3:16">
      <c r="C125" s="508">
        <f>IF(D96="","-",+C124+1)</f>
        <v>2031</v>
      </c>
      <c r="D125" s="471">
        <f t="shared" si="1"/>
        <v>6402162</v>
      </c>
      <c r="E125" s="515">
        <f t="shared" si="5"/>
        <v>328316</v>
      </c>
      <c r="F125" s="471">
        <f t="shared" si="0"/>
        <v>6073846</v>
      </c>
      <c r="G125" s="950">
        <f t="shared" si="2"/>
        <v>1015616.3064668172</v>
      </c>
      <c r="H125" s="953">
        <f t="shared" si="3"/>
        <v>1015616.3064668172</v>
      </c>
      <c r="I125" s="512">
        <f t="shared" si="4"/>
        <v>0</v>
      </c>
      <c r="J125" s="512"/>
      <c r="K125" s="649"/>
      <c r="L125" s="518"/>
      <c r="M125" s="649"/>
      <c r="N125" s="518"/>
      <c r="O125" s="518"/>
      <c r="P125" s="473"/>
    </row>
    <row r="126" spans="3:16">
      <c r="C126" s="508">
        <f>IF(D96="","-",+C125+1)</f>
        <v>2032</v>
      </c>
      <c r="D126" s="471">
        <f t="shared" si="1"/>
        <v>6073846</v>
      </c>
      <c r="E126" s="515">
        <f t="shared" si="5"/>
        <v>328316</v>
      </c>
      <c r="F126" s="471">
        <f t="shared" si="0"/>
        <v>5745530</v>
      </c>
      <c r="G126" s="950">
        <f t="shared" si="2"/>
        <v>979442.60612645838</v>
      </c>
      <c r="H126" s="953">
        <f t="shared" si="3"/>
        <v>979442.60612645838</v>
      </c>
      <c r="I126" s="512">
        <f t="shared" si="4"/>
        <v>0</v>
      </c>
      <c r="J126" s="512"/>
      <c r="K126" s="649"/>
      <c r="L126" s="518"/>
      <c r="M126" s="649"/>
      <c r="N126" s="518"/>
      <c r="O126" s="518"/>
      <c r="P126" s="473"/>
    </row>
    <row r="127" spans="3:16">
      <c r="C127" s="508">
        <f>IF(D96="","-",+C126+1)</f>
        <v>2033</v>
      </c>
      <c r="D127" s="471">
        <f t="shared" si="1"/>
        <v>5745530</v>
      </c>
      <c r="E127" s="515">
        <f t="shared" si="5"/>
        <v>328316</v>
      </c>
      <c r="F127" s="471">
        <f t="shared" si="0"/>
        <v>5417214</v>
      </c>
      <c r="G127" s="950">
        <f t="shared" si="2"/>
        <v>943268.90578609961</v>
      </c>
      <c r="H127" s="953">
        <f t="shared" si="3"/>
        <v>943268.90578609961</v>
      </c>
      <c r="I127" s="512">
        <f t="shared" si="4"/>
        <v>0</v>
      </c>
      <c r="J127" s="512"/>
      <c r="K127" s="649"/>
      <c r="L127" s="518"/>
      <c r="M127" s="649"/>
      <c r="N127" s="518"/>
      <c r="O127" s="518"/>
      <c r="P127" s="473"/>
    </row>
    <row r="128" spans="3:16">
      <c r="C128" s="508">
        <f>IF(D96="","-",+C127+1)</f>
        <v>2034</v>
      </c>
      <c r="D128" s="471">
        <f t="shared" si="1"/>
        <v>5417214</v>
      </c>
      <c r="E128" s="515">
        <f t="shared" si="5"/>
        <v>328316</v>
      </c>
      <c r="F128" s="471">
        <f t="shared" si="0"/>
        <v>5088898</v>
      </c>
      <c r="G128" s="950">
        <f t="shared" si="2"/>
        <v>907095.20544574084</v>
      </c>
      <c r="H128" s="953">
        <f t="shared" si="3"/>
        <v>907095.20544574084</v>
      </c>
      <c r="I128" s="512">
        <f t="shared" si="4"/>
        <v>0</v>
      </c>
      <c r="J128" s="512"/>
      <c r="K128" s="649"/>
      <c r="L128" s="518"/>
      <c r="M128" s="649"/>
      <c r="N128" s="518"/>
      <c r="O128" s="518"/>
      <c r="P128" s="473"/>
    </row>
    <row r="129" spans="3:16">
      <c r="C129" s="508">
        <f>IF(D96="","-",+C128+1)</f>
        <v>2035</v>
      </c>
      <c r="D129" s="471">
        <f t="shared" si="1"/>
        <v>5088898</v>
      </c>
      <c r="E129" s="515">
        <f t="shared" si="5"/>
        <v>328316</v>
      </c>
      <c r="F129" s="471">
        <f t="shared" si="0"/>
        <v>4760582</v>
      </c>
      <c r="G129" s="950">
        <f t="shared" si="2"/>
        <v>870921.50510538195</v>
      </c>
      <c r="H129" s="953">
        <f t="shared" si="3"/>
        <v>870921.50510538195</v>
      </c>
      <c r="I129" s="512">
        <f t="shared" si="4"/>
        <v>0</v>
      </c>
      <c r="J129" s="512"/>
      <c r="K129" s="649"/>
      <c r="L129" s="518"/>
      <c r="M129" s="649"/>
      <c r="N129" s="518"/>
      <c r="O129" s="518"/>
      <c r="P129" s="473"/>
    </row>
    <row r="130" spans="3:16">
      <c r="C130" s="508">
        <f>IF(D96="","-",+C129+1)</f>
        <v>2036</v>
      </c>
      <c r="D130" s="471">
        <f t="shared" si="1"/>
        <v>4760582</v>
      </c>
      <c r="E130" s="515">
        <f t="shared" si="5"/>
        <v>328316</v>
      </c>
      <c r="F130" s="471">
        <f t="shared" si="0"/>
        <v>4432266</v>
      </c>
      <c r="G130" s="959">
        <f t="shared" si="2"/>
        <v>834747.80476502317</v>
      </c>
      <c r="H130" s="953">
        <f t="shared" si="3"/>
        <v>834747.80476502317</v>
      </c>
      <c r="I130" s="512">
        <f t="shared" si="4"/>
        <v>0</v>
      </c>
      <c r="J130" s="512"/>
      <c r="K130" s="649"/>
      <c r="L130" s="518"/>
      <c r="M130" s="649"/>
      <c r="N130" s="518"/>
      <c r="O130" s="518"/>
      <c r="P130" s="473"/>
    </row>
    <row r="131" spans="3:16">
      <c r="C131" s="508">
        <f>IF(D96="","-",+C130+1)</f>
        <v>2037</v>
      </c>
      <c r="D131" s="471">
        <f t="shared" si="1"/>
        <v>4432266</v>
      </c>
      <c r="E131" s="515">
        <f t="shared" si="5"/>
        <v>328316</v>
      </c>
      <c r="F131" s="471">
        <f t="shared" si="0"/>
        <v>4103950</v>
      </c>
      <c r="G131" s="950">
        <f t="shared" si="2"/>
        <v>798574.1044246644</v>
      </c>
      <c r="H131" s="953">
        <f t="shared" si="3"/>
        <v>798574.1044246644</v>
      </c>
      <c r="I131" s="512">
        <f t="shared" si="4"/>
        <v>0</v>
      </c>
      <c r="J131" s="512"/>
      <c r="K131" s="649"/>
      <c r="L131" s="518"/>
      <c r="M131" s="649"/>
      <c r="N131" s="518"/>
      <c r="O131" s="518"/>
      <c r="P131" s="473"/>
    </row>
    <row r="132" spans="3:16">
      <c r="C132" s="508">
        <f>IF(D96="","-",+C131+1)</f>
        <v>2038</v>
      </c>
      <c r="D132" s="471">
        <f t="shared" si="1"/>
        <v>4103950</v>
      </c>
      <c r="E132" s="515">
        <f t="shared" si="5"/>
        <v>328316</v>
      </c>
      <c r="F132" s="471">
        <f t="shared" si="0"/>
        <v>3775634</v>
      </c>
      <c r="G132" s="950">
        <f t="shared" si="2"/>
        <v>762400.40408430551</v>
      </c>
      <c r="H132" s="953">
        <f t="shared" si="3"/>
        <v>762400.40408430551</v>
      </c>
      <c r="I132" s="512">
        <f t="shared" si="4"/>
        <v>0</v>
      </c>
      <c r="J132" s="512"/>
      <c r="K132" s="649"/>
      <c r="L132" s="518"/>
      <c r="M132" s="649"/>
      <c r="N132" s="518"/>
      <c r="O132" s="518"/>
      <c r="P132" s="473"/>
    </row>
    <row r="133" spans="3:16">
      <c r="C133" s="508">
        <f>IF(D96="","-",+C132+1)</f>
        <v>2039</v>
      </c>
      <c r="D133" s="471">
        <f t="shared" si="1"/>
        <v>3775634</v>
      </c>
      <c r="E133" s="515">
        <f t="shared" si="5"/>
        <v>328316</v>
      </c>
      <c r="F133" s="471">
        <f t="shared" si="0"/>
        <v>3447318</v>
      </c>
      <c r="G133" s="950">
        <f t="shared" si="2"/>
        <v>726226.70374394674</v>
      </c>
      <c r="H133" s="953">
        <f t="shared" si="3"/>
        <v>726226.70374394674</v>
      </c>
      <c r="I133" s="512">
        <f t="shared" si="4"/>
        <v>0</v>
      </c>
      <c r="J133" s="512"/>
      <c r="K133" s="649"/>
      <c r="L133" s="518"/>
      <c r="M133" s="649"/>
      <c r="N133" s="518"/>
      <c r="O133" s="518"/>
      <c r="P133" s="473"/>
    </row>
    <row r="134" spans="3:16">
      <c r="C134" s="508">
        <f>IF(D96="","-",+C133+1)</f>
        <v>2040</v>
      </c>
      <c r="D134" s="471">
        <f t="shared" si="1"/>
        <v>3447318</v>
      </c>
      <c r="E134" s="515">
        <f t="shared" si="5"/>
        <v>328316</v>
      </c>
      <c r="F134" s="471">
        <f t="shared" si="0"/>
        <v>3119002</v>
      </c>
      <c r="G134" s="950">
        <f t="shared" si="2"/>
        <v>690053.00340358797</v>
      </c>
      <c r="H134" s="953">
        <f t="shared" si="3"/>
        <v>690053.00340358797</v>
      </c>
      <c r="I134" s="512">
        <f t="shared" si="4"/>
        <v>0</v>
      </c>
      <c r="J134" s="512"/>
      <c r="K134" s="649"/>
      <c r="L134" s="518"/>
      <c r="M134" s="649"/>
      <c r="N134" s="518"/>
      <c r="O134" s="518"/>
      <c r="P134" s="473"/>
    </row>
    <row r="135" spans="3:16">
      <c r="C135" s="508">
        <f>IF(D96="","-",+C134+1)</f>
        <v>2041</v>
      </c>
      <c r="D135" s="471">
        <f t="shared" si="1"/>
        <v>3119002</v>
      </c>
      <c r="E135" s="515">
        <f t="shared" si="5"/>
        <v>328316</v>
      </c>
      <c r="F135" s="471">
        <f t="shared" si="0"/>
        <v>2790686</v>
      </c>
      <c r="G135" s="950">
        <f t="shared" si="2"/>
        <v>653879.30306322919</v>
      </c>
      <c r="H135" s="953">
        <f t="shared" si="3"/>
        <v>653879.30306322919</v>
      </c>
      <c r="I135" s="512">
        <f t="shared" si="4"/>
        <v>0</v>
      </c>
      <c r="J135" s="512"/>
      <c r="K135" s="649"/>
      <c r="L135" s="518"/>
      <c r="M135" s="649"/>
      <c r="N135" s="518"/>
      <c r="O135" s="518"/>
      <c r="P135" s="473"/>
    </row>
    <row r="136" spans="3:16">
      <c r="C136" s="508">
        <f>IF(D96="","-",+C135+1)</f>
        <v>2042</v>
      </c>
      <c r="D136" s="471">
        <f t="shared" si="1"/>
        <v>2790686</v>
      </c>
      <c r="E136" s="515">
        <f t="shared" si="5"/>
        <v>328316</v>
      </c>
      <c r="F136" s="471">
        <f t="shared" si="0"/>
        <v>2462370</v>
      </c>
      <c r="G136" s="950">
        <f t="shared" si="2"/>
        <v>617705.60272287042</v>
      </c>
      <c r="H136" s="953">
        <f t="shared" si="3"/>
        <v>617705.60272287042</v>
      </c>
      <c r="I136" s="512">
        <f t="shared" si="4"/>
        <v>0</v>
      </c>
      <c r="J136" s="512"/>
      <c r="K136" s="649"/>
      <c r="L136" s="518"/>
      <c r="M136" s="649"/>
      <c r="N136" s="518"/>
      <c r="O136" s="518"/>
      <c r="P136" s="473"/>
    </row>
    <row r="137" spans="3:16">
      <c r="C137" s="508">
        <f>IF(D96="","-",+C136+1)</f>
        <v>2043</v>
      </c>
      <c r="D137" s="471">
        <f t="shared" si="1"/>
        <v>2462370</v>
      </c>
      <c r="E137" s="515">
        <f t="shared" si="5"/>
        <v>328316</v>
      </c>
      <c r="F137" s="471">
        <f t="shared" si="0"/>
        <v>2134054</v>
      </c>
      <c r="G137" s="950">
        <f t="shared" si="2"/>
        <v>581531.90238251165</v>
      </c>
      <c r="H137" s="953">
        <f t="shared" si="3"/>
        <v>581531.90238251165</v>
      </c>
      <c r="I137" s="512">
        <f t="shared" si="4"/>
        <v>0</v>
      </c>
      <c r="J137" s="512"/>
      <c r="K137" s="649"/>
      <c r="L137" s="518"/>
      <c r="M137" s="649"/>
      <c r="N137" s="518"/>
      <c r="O137" s="518"/>
      <c r="P137" s="473"/>
    </row>
    <row r="138" spans="3:16">
      <c r="C138" s="508">
        <f>IF(D96="","-",+C137+1)</f>
        <v>2044</v>
      </c>
      <c r="D138" s="471">
        <f t="shared" si="1"/>
        <v>2134054</v>
      </c>
      <c r="E138" s="515">
        <f t="shared" si="5"/>
        <v>328316</v>
      </c>
      <c r="F138" s="471">
        <f t="shared" si="0"/>
        <v>1805738</v>
      </c>
      <c r="G138" s="950">
        <f t="shared" si="2"/>
        <v>545358.20204215276</v>
      </c>
      <c r="H138" s="953">
        <f t="shared" si="3"/>
        <v>545358.20204215276</v>
      </c>
      <c r="I138" s="512">
        <f t="shared" si="4"/>
        <v>0</v>
      </c>
      <c r="J138" s="512"/>
      <c r="K138" s="649"/>
      <c r="L138" s="518"/>
      <c r="M138" s="649"/>
      <c r="N138" s="518"/>
      <c r="O138" s="518"/>
      <c r="P138" s="473"/>
    </row>
    <row r="139" spans="3:16">
      <c r="C139" s="508">
        <f>IF(D96="","-",+C138+1)</f>
        <v>2045</v>
      </c>
      <c r="D139" s="471">
        <f t="shared" si="1"/>
        <v>1805738</v>
      </c>
      <c r="E139" s="515">
        <f t="shared" si="5"/>
        <v>328316</v>
      </c>
      <c r="F139" s="471">
        <f t="shared" si="0"/>
        <v>1477422</v>
      </c>
      <c r="G139" s="950">
        <f t="shared" si="2"/>
        <v>509184.50170179398</v>
      </c>
      <c r="H139" s="953">
        <f t="shared" si="3"/>
        <v>509184.50170179398</v>
      </c>
      <c r="I139" s="512">
        <f t="shared" si="4"/>
        <v>0</v>
      </c>
      <c r="J139" s="512"/>
      <c r="K139" s="649"/>
      <c r="L139" s="518"/>
      <c r="M139" s="649"/>
      <c r="N139" s="518"/>
      <c r="O139" s="518"/>
      <c r="P139" s="473"/>
    </row>
    <row r="140" spans="3:16">
      <c r="C140" s="508">
        <f>IF(D96="","-",+C139+1)</f>
        <v>2046</v>
      </c>
      <c r="D140" s="471">
        <f t="shared" si="1"/>
        <v>1477422</v>
      </c>
      <c r="E140" s="515">
        <f t="shared" si="5"/>
        <v>328316</v>
      </c>
      <c r="F140" s="471">
        <f t="shared" si="0"/>
        <v>1149106</v>
      </c>
      <c r="G140" s="950">
        <f t="shared" si="2"/>
        <v>473010.80136143521</v>
      </c>
      <c r="H140" s="953">
        <f t="shared" si="3"/>
        <v>473010.80136143521</v>
      </c>
      <c r="I140" s="512">
        <f t="shared" si="4"/>
        <v>0</v>
      </c>
      <c r="J140" s="512"/>
      <c r="K140" s="649"/>
      <c r="L140" s="518"/>
      <c r="M140" s="649"/>
      <c r="N140" s="518"/>
      <c r="O140" s="518"/>
      <c r="P140" s="473"/>
    </row>
    <row r="141" spans="3:16">
      <c r="C141" s="508">
        <f>IF(D96="","-",+C140+1)</f>
        <v>2047</v>
      </c>
      <c r="D141" s="471">
        <f t="shared" si="1"/>
        <v>1149106</v>
      </c>
      <c r="E141" s="515">
        <f t="shared" si="5"/>
        <v>328316</v>
      </c>
      <c r="F141" s="471">
        <f t="shared" si="0"/>
        <v>820790</v>
      </c>
      <c r="G141" s="950">
        <f t="shared" si="2"/>
        <v>436837.10102107638</v>
      </c>
      <c r="H141" s="953">
        <f t="shared" si="3"/>
        <v>436837.10102107638</v>
      </c>
      <c r="I141" s="512">
        <f t="shared" si="4"/>
        <v>0</v>
      </c>
      <c r="J141" s="512"/>
      <c r="K141" s="649"/>
      <c r="L141" s="518"/>
      <c r="M141" s="649"/>
      <c r="N141" s="518"/>
      <c r="O141" s="518"/>
      <c r="P141" s="473"/>
    </row>
    <row r="142" spans="3:16">
      <c r="C142" s="508">
        <f>IF(D96="","-",+C141+1)</f>
        <v>2048</v>
      </c>
      <c r="D142" s="471">
        <f t="shared" si="1"/>
        <v>820790</v>
      </c>
      <c r="E142" s="515">
        <f t="shared" si="5"/>
        <v>328316</v>
      </c>
      <c r="F142" s="471">
        <f t="shared" si="0"/>
        <v>492474</v>
      </c>
      <c r="G142" s="950">
        <f t="shared" si="2"/>
        <v>400663.4006807176</v>
      </c>
      <c r="H142" s="953">
        <f t="shared" si="3"/>
        <v>400663.4006807176</v>
      </c>
      <c r="I142" s="512">
        <f t="shared" si="4"/>
        <v>0</v>
      </c>
      <c r="J142" s="512"/>
      <c r="K142" s="649"/>
      <c r="L142" s="518"/>
      <c r="M142" s="649"/>
      <c r="N142" s="518"/>
      <c r="O142" s="518"/>
      <c r="P142" s="473"/>
    </row>
    <row r="143" spans="3:16">
      <c r="C143" s="508">
        <f>IF(D96="","-",+C142+1)</f>
        <v>2049</v>
      </c>
      <c r="D143" s="471">
        <f t="shared" si="1"/>
        <v>492474</v>
      </c>
      <c r="E143" s="515">
        <f t="shared" si="5"/>
        <v>328316</v>
      </c>
      <c r="F143" s="471">
        <f t="shared" si="0"/>
        <v>164158</v>
      </c>
      <c r="G143" s="950">
        <f t="shared" si="2"/>
        <v>364489.70034035877</v>
      </c>
      <c r="H143" s="953">
        <f t="shared" si="3"/>
        <v>364489.70034035877</v>
      </c>
      <c r="I143" s="512">
        <f t="shared" si="4"/>
        <v>0</v>
      </c>
      <c r="J143" s="512"/>
      <c r="K143" s="649"/>
      <c r="L143" s="518"/>
      <c r="M143" s="649"/>
      <c r="N143" s="518"/>
      <c r="O143" s="518"/>
      <c r="P143" s="473"/>
    </row>
    <row r="144" spans="3:16">
      <c r="C144" s="508">
        <f>IF(D96="","-",+C143+1)</f>
        <v>2050</v>
      </c>
      <c r="D144" s="471">
        <f t="shared" si="1"/>
        <v>164158</v>
      </c>
      <c r="E144" s="515">
        <f t="shared" si="5"/>
        <v>164158</v>
      </c>
      <c r="F144" s="471">
        <f t="shared" si="0"/>
        <v>0</v>
      </c>
      <c r="G144" s="950">
        <f t="shared" si="2"/>
        <v>173201.42508508969</v>
      </c>
      <c r="H144" s="953">
        <f t="shared" si="3"/>
        <v>173201.42508508969</v>
      </c>
      <c r="I144" s="512">
        <f t="shared" si="4"/>
        <v>0</v>
      </c>
      <c r="J144" s="512"/>
      <c r="K144" s="649"/>
      <c r="L144" s="518"/>
      <c r="M144" s="649"/>
      <c r="N144" s="518"/>
      <c r="O144" s="518"/>
      <c r="P144" s="473"/>
    </row>
    <row r="145" spans="3:16">
      <c r="C145" s="508">
        <f>IF(D96="","-",+C144+1)</f>
        <v>2051</v>
      </c>
      <c r="D145" s="471">
        <f t="shared" si="1"/>
        <v>0</v>
      </c>
      <c r="E145" s="515">
        <f t="shared" si="5"/>
        <v>0</v>
      </c>
      <c r="F145" s="471">
        <f t="shared" si="0"/>
        <v>0</v>
      </c>
      <c r="G145" s="950">
        <f t="shared" si="2"/>
        <v>0</v>
      </c>
      <c r="H145" s="953">
        <f t="shared" si="3"/>
        <v>0</v>
      </c>
      <c r="I145" s="512">
        <f t="shared" si="4"/>
        <v>0</v>
      </c>
      <c r="J145" s="512"/>
      <c r="K145" s="649"/>
      <c r="L145" s="518"/>
      <c r="M145" s="649"/>
      <c r="N145" s="518"/>
      <c r="O145" s="518"/>
      <c r="P145" s="473"/>
    </row>
    <row r="146" spans="3:16">
      <c r="C146" s="508">
        <f>IF(D96="","-",+C145+1)</f>
        <v>2052</v>
      </c>
      <c r="D146" s="471">
        <f t="shared" si="1"/>
        <v>0</v>
      </c>
      <c r="E146" s="515">
        <f t="shared" si="5"/>
        <v>0</v>
      </c>
      <c r="F146" s="471">
        <f t="shared" si="0"/>
        <v>0</v>
      </c>
      <c r="G146" s="950">
        <f t="shared" si="2"/>
        <v>0</v>
      </c>
      <c r="H146" s="953">
        <f t="shared" si="3"/>
        <v>0</v>
      </c>
      <c r="I146" s="512">
        <f t="shared" si="4"/>
        <v>0</v>
      </c>
      <c r="J146" s="512"/>
      <c r="K146" s="649"/>
      <c r="L146" s="518"/>
      <c r="M146" s="649"/>
      <c r="N146" s="518"/>
      <c r="O146" s="518"/>
      <c r="P146" s="473"/>
    </row>
    <row r="147" spans="3:16">
      <c r="C147" s="508">
        <f>IF(D96="","-",+C146+1)</f>
        <v>2053</v>
      </c>
      <c r="D147" s="471">
        <f t="shared" si="1"/>
        <v>0</v>
      </c>
      <c r="E147" s="515">
        <f t="shared" si="5"/>
        <v>0</v>
      </c>
      <c r="F147" s="471">
        <f t="shared" si="0"/>
        <v>0</v>
      </c>
      <c r="G147" s="950">
        <f t="shared" si="2"/>
        <v>0</v>
      </c>
      <c r="H147" s="953">
        <f t="shared" si="3"/>
        <v>0</v>
      </c>
      <c r="I147" s="512">
        <f t="shared" si="4"/>
        <v>0</v>
      </c>
      <c r="J147" s="512"/>
      <c r="K147" s="649"/>
      <c r="L147" s="518"/>
      <c r="M147" s="649"/>
      <c r="N147" s="518"/>
      <c r="O147" s="518"/>
      <c r="P147" s="473"/>
    </row>
    <row r="148" spans="3:16">
      <c r="C148" s="508">
        <f>IF(D96="","-",+C147+1)</f>
        <v>2054</v>
      </c>
      <c r="D148" s="471">
        <f t="shared" si="1"/>
        <v>0</v>
      </c>
      <c r="E148" s="515">
        <f t="shared" si="5"/>
        <v>0</v>
      </c>
      <c r="F148" s="471">
        <f t="shared" si="0"/>
        <v>0</v>
      </c>
      <c r="G148" s="950">
        <f t="shared" si="2"/>
        <v>0</v>
      </c>
      <c r="H148" s="953">
        <f t="shared" si="3"/>
        <v>0</v>
      </c>
      <c r="I148" s="512">
        <f t="shared" si="4"/>
        <v>0</v>
      </c>
      <c r="J148" s="512"/>
      <c r="K148" s="649"/>
      <c r="L148" s="518"/>
      <c r="M148" s="649"/>
      <c r="N148" s="518"/>
      <c r="O148" s="518"/>
      <c r="P148" s="473"/>
    </row>
    <row r="149" spans="3:16">
      <c r="C149" s="508">
        <f>IF(D96="","-",+C148+1)</f>
        <v>2055</v>
      </c>
      <c r="D149" s="471">
        <f t="shared" si="1"/>
        <v>0</v>
      </c>
      <c r="E149" s="515">
        <f t="shared" si="5"/>
        <v>0</v>
      </c>
      <c r="F149" s="471">
        <f t="shared" si="0"/>
        <v>0</v>
      </c>
      <c r="G149" s="950">
        <f t="shared" si="2"/>
        <v>0</v>
      </c>
      <c r="H149" s="953">
        <f t="shared" si="3"/>
        <v>0</v>
      </c>
      <c r="I149" s="512">
        <f t="shared" si="4"/>
        <v>0</v>
      </c>
      <c r="J149" s="512"/>
      <c r="K149" s="649"/>
      <c r="L149" s="518"/>
      <c r="M149" s="649"/>
      <c r="N149" s="518"/>
      <c r="O149" s="518"/>
      <c r="P149" s="473"/>
    </row>
    <row r="150" spans="3:16">
      <c r="C150" s="508">
        <f>IF(D96="","-",+C149+1)</f>
        <v>2056</v>
      </c>
      <c r="D150" s="471">
        <f t="shared" si="1"/>
        <v>0</v>
      </c>
      <c r="E150" s="515">
        <f t="shared" si="5"/>
        <v>0</v>
      </c>
      <c r="F150" s="471">
        <f t="shared" si="0"/>
        <v>0</v>
      </c>
      <c r="G150" s="950">
        <f t="shared" si="2"/>
        <v>0</v>
      </c>
      <c r="H150" s="953">
        <f t="shared" si="3"/>
        <v>0</v>
      </c>
      <c r="I150" s="512">
        <f t="shared" si="4"/>
        <v>0</v>
      </c>
      <c r="J150" s="512"/>
      <c r="K150" s="649"/>
      <c r="L150" s="518"/>
      <c r="M150" s="649"/>
      <c r="N150" s="518"/>
      <c r="O150" s="518"/>
      <c r="P150" s="473"/>
    </row>
    <row r="151" spans="3:16">
      <c r="C151" s="508">
        <f>IF(D96="","-",+C150+1)</f>
        <v>2057</v>
      </c>
      <c r="D151" s="471">
        <f t="shared" si="1"/>
        <v>0</v>
      </c>
      <c r="E151" s="515">
        <f t="shared" si="5"/>
        <v>0</v>
      </c>
      <c r="F151" s="471">
        <f t="shared" si="0"/>
        <v>0</v>
      </c>
      <c r="G151" s="950">
        <f t="shared" si="2"/>
        <v>0</v>
      </c>
      <c r="H151" s="953">
        <f t="shared" si="3"/>
        <v>0</v>
      </c>
      <c r="I151" s="512">
        <f t="shared" si="4"/>
        <v>0</v>
      </c>
      <c r="J151" s="512"/>
      <c r="K151" s="649"/>
      <c r="L151" s="518"/>
      <c r="M151" s="649"/>
      <c r="N151" s="518"/>
      <c r="O151" s="518"/>
      <c r="P151" s="473"/>
    </row>
    <row r="152" spans="3:16">
      <c r="C152" s="508">
        <f>IF(D96="","-",+C151+1)</f>
        <v>2058</v>
      </c>
      <c r="D152" s="471">
        <f t="shared" si="1"/>
        <v>0</v>
      </c>
      <c r="E152" s="515">
        <f t="shared" si="5"/>
        <v>0</v>
      </c>
      <c r="F152" s="471">
        <f t="shared" si="0"/>
        <v>0</v>
      </c>
      <c r="G152" s="950">
        <f t="shared" si="2"/>
        <v>0</v>
      </c>
      <c r="H152" s="953">
        <f t="shared" si="3"/>
        <v>0</v>
      </c>
      <c r="I152" s="512">
        <f t="shared" si="4"/>
        <v>0</v>
      </c>
      <c r="J152" s="512"/>
      <c r="K152" s="649"/>
      <c r="L152" s="518"/>
      <c r="M152" s="649"/>
      <c r="N152" s="518"/>
      <c r="O152" s="518"/>
      <c r="P152" s="473"/>
    </row>
    <row r="153" spans="3:16">
      <c r="C153" s="508">
        <f>IF(D96="","-",+C152+1)</f>
        <v>2059</v>
      </c>
      <c r="D153" s="471">
        <f t="shared" si="1"/>
        <v>0</v>
      </c>
      <c r="E153" s="515">
        <f t="shared" si="5"/>
        <v>0</v>
      </c>
      <c r="F153" s="471">
        <f t="shared" si="0"/>
        <v>0</v>
      </c>
      <c r="G153" s="950">
        <f t="shared" si="2"/>
        <v>0</v>
      </c>
      <c r="H153" s="953">
        <f t="shared" si="3"/>
        <v>0</v>
      </c>
      <c r="I153" s="512">
        <f t="shared" si="4"/>
        <v>0</v>
      </c>
      <c r="J153" s="512"/>
      <c r="K153" s="649"/>
      <c r="L153" s="518"/>
      <c r="M153" s="649"/>
      <c r="N153" s="518"/>
      <c r="O153" s="518"/>
      <c r="P153" s="473"/>
    </row>
    <row r="154" spans="3:16">
      <c r="C154" s="508">
        <f>IF(D96="","-",+C153+1)</f>
        <v>2060</v>
      </c>
      <c r="D154" s="471">
        <f t="shared" si="1"/>
        <v>0</v>
      </c>
      <c r="E154" s="515">
        <f t="shared" si="5"/>
        <v>0</v>
      </c>
      <c r="F154" s="471">
        <f t="shared" si="0"/>
        <v>0</v>
      </c>
      <c r="G154" s="950">
        <f t="shared" si="2"/>
        <v>0</v>
      </c>
      <c r="H154" s="953">
        <f t="shared" si="3"/>
        <v>0</v>
      </c>
      <c r="I154" s="512">
        <f t="shared" si="4"/>
        <v>0</v>
      </c>
      <c r="J154" s="512"/>
      <c r="K154" s="649"/>
      <c r="L154" s="518"/>
      <c r="M154" s="649"/>
      <c r="N154" s="518"/>
      <c r="O154" s="518"/>
      <c r="P154" s="473"/>
    </row>
    <row r="155" spans="3:16">
      <c r="C155" s="508">
        <f>IF(D96="","-",+C154+1)</f>
        <v>2061</v>
      </c>
      <c r="D155" s="471">
        <f t="shared" si="1"/>
        <v>0</v>
      </c>
      <c r="E155" s="515">
        <f t="shared" si="5"/>
        <v>0</v>
      </c>
      <c r="F155" s="471">
        <f t="shared" si="0"/>
        <v>0</v>
      </c>
      <c r="G155" s="950">
        <f t="shared" si="2"/>
        <v>0</v>
      </c>
      <c r="H155" s="953">
        <f t="shared" si="3"/>
        <v>0</v>
      </c>
      <c r="I155" s="512">
        <f t="shared" si="4"/>
        <v>0</v>
      </c>
      <c r="J155" s="512"/>
      <c r="K155" s="649"/>
      <c r="L155" s="518"/>
      <c r="M155" s="649"/>
      <c r="N155" s="518"/>
      <c r="O155" s="518"/>
      <c r="P155" s="473"/>
    </row>
    <row r="156" spans="3:16">
      <c r="C156" s="508">
        <f>IF(D96="","-",+C155+1)</f>
        <v>2062</v>
      </c>
      <c r="D156" s="471">
        <f t="shared" si="1"/>
        <v>0</v>
      </c>
      <c r="E156" s="515">
        <f t="shared" si="5"/>
        <v>0</v>
      </c>
      <c r="F156" s="471">
        <f t="shared" si="0"/>
        <v>0</v>
      </c>
      <c r="G156" s="950">
        <f t="shared" si="2"/>
        <v>0</v>
      </c>
      <c r="H156" s="953">
        <f t="shared" si="3"/>
        <v>0</v>
      </c>
      <c r="I156" s="512">
        <f t="shared" si="4"/>
        <v>0</v>
      </c>
      <c r="J156" s="512"/>
      <c r="K156" s="649"/>
      <c r="L156" s="518"/>
      <c r="M156" s="649"/>
      <c r="N156" s="518"/>
      <c r="O156" s="518"/>
      <c r="P156" s="473"/>
    </row>
    <row r="157" spans="3:16">
      <c r="C157" s="508">
        <f>IF(D96="","-",+C156+1)</f>
        <v>2063</v>
      </c>
      <c r="D157" s="471">
        <f t="shared" si="1"/>
        <v>0</v>
      </c>
      <c r="E157" s="515">
        <f t="shared" si="5"/>
        <v>0</v>
      </c>
      <c r="F157" s="471">
        <f t="shared" si="0"/>
        <v>0</v>
      </c>
      <c r="G157" s="950">
        <f t="shared" si="2"/>
        <v>0</v>
      </c>
      <c r="H157" s="953">
        <f t="shared" si="3"/>
        <v>0</v>
      </c>
      <c r="I157" s="512">
        <f t="shared" si="4"/>
        <v>0</v>
      </c>
      <c r="J157" s="512"/>
      <c r="K157" s="649"/>
      <c r="L157" s="518"/>
      <c r="M157" s="649"/>
      <c r="N157" s="518"/>
      <c r="O157" s="518"/>
      <c r="P157" s="473"/>
    </row>
    <row r="158" spans="3:16">
      <c r="C158" s="508">
        <f>IF(D96="","-",+C157+1)</f>
        <v>2064</v>
      </c>
      <c r="D158" s="471">
        <f t="shared" si="1"/>
        <v>0</v>
      </c>
      <c r="E158" s="515">
        <f t="shared" si="5"/>
        <v>0</v>
      </c>
      <c r="F158" s="471">
        <f t="shared" si="0"/>
        <v>0</v>
      </c>
      <c r="G158" s="950">
        <f t="shared" si="2"/>
        <v>0</v>
      </c>
      <c r="H158" s="953">
        <f t="shared" si="3"/>
        <v>0</v>
      </c>
      <c r="I158" s="512">
        <f t="shared" si="4"/>
        <v>0</v>
      </c>
      <c r="J158" s="512"/>
      <c r="K158" s="649"/>
      <c r="L158" s="518"/>
      <c r="M158" s="649"/>
      <c r="N158" s="518"/>
      <c r="O158" s="518"/>
      <c r="P158" s="473"/>
    </row>
    <row r="159" spans="3:16">
      <c r="C159" s="508">
        <f>IF(D96="","-",+C158+1)</f>
        <v>2065</v>
      </c>
      <c r="D159" s="471">
        <f t="shared" si="1"/>
        <v>0</v>
      </c>
      <c r="E159" s="515">
        <f t="shared" si="5"/>
        <v>0</v>
      </c>
      <c r="F159" s="471">
        <f t="shared" si="0"/>
        <v>0</v>
      </c>
      <c r="G159" s="950">
        <f t="shared" si="2"/>
        <v>0</v>
      </c>
      <c r="H159" s="953">
        <f t="shared" si="3"/>
        <v>0</v>
      </c>
      <c r="I159" s="512">
        <f t="shared" si="4"/>
        <v>0</v>
      </c>
      <c r="J159" s="512"/>
      <c r="K159" s="649"/>
      <c r="L159" s="518"/>
      <c r="M159" s="649"/>
      <c r="N159" s="518"/>
      <c r="O159" s="518"/>
      <c r="P159" s="473"/>
    </row>
    <row r="160" spans="3:16">
      <c r="C160" s="508">
        <f>IF(D96="","-",+C159+1)</f>
        <v>2066</v>
      </c>
      <c r="D160" s="471">
        <f t="shared" si="1"/>
        <v>0</v>
      </c>
      <c r="E160" s="515">
        <f t="shared" si="5"/>
        <v>0</v>
      </c>
      <c r="F160" s="471">
        <f t="shared" si="0"/>
        <v>0</v>
      </c>
      <c r="G160" s="950">
        <f t="shared" si="2"/>
        <v>0</v>
      </c>
      <c r="H160" s="953">
        <f t="shared" si="3"/>
        <v>0</v>
      </c>
      <c r="I160" s="512">
        <f t="shared" si="4"/>
        <v>0</v>
      </c>
      <c r="J160" s="512"/>
      <c r="K160" s="649"/>
      <c r="L160" s="518"/>
      <c r="M160" s="649"/>
      <c r="N160" s="518"/>
      <c r="O160" s="518"/>
      <c r="P160" s="473"/>
    </row>
    <row r="161" spans="1:16" ht="13.5" thickBot="1">
      <c r="C161" s="520">
        <f>IF(D96="","-",+C160+1)</f>
        <v>2067</v>
      </c>
      <c r="D161" s="521">
        <f t="shared" si="1"/>
        <v>0</v>
      </c>
      <c r="E161" s="522">
        <f t="shared" si="5"/>
        <v>0</v>
      </c>
      <c r="F161" s="521">
        <f t="shared" si="0"/>
        <v>0</v>
      </c>
      <c r="G161" s="960">
        <f t="shared" si="2"/>
        <v>0</v>
      </c>
      <c r="H161" s="960">
        <f t="shared" si="3"/>
        <v>0</v>
      </c>
      <c r="I161" s="524">
        <f t="shared" si="4"/>
        <v>0</v>
      </c>
      <c r="J161" s="512"/>
      <c r="K161" s="650"/>
      <c r="L161" s="526"/>
      <c r="M161" s="650"/>
      <c r="N161" s="526"/>
      <c r="O161" s="526"/>
      <c r="P161" s="473"/>
    </row>
    <row r="162" spans="1:16">
      <c r="C162" s="471" t="s">
        <v>288</v>
      </c>
      <c r="D162" s="931"/>
      <c r="E162" s="931">
        <f>SUM(E102:E161)</f>
        <v>13789272</v>
      </c>
      <c r="F162" s="931"/>
      <c r="G162" s="931">
        <f>SUM(G102:G161)</f>
        <v>46454123.407343991</v>
      </c>
      <c r="H162" s="931">
        <f>SUM(H102:H161)</f>
        <v>46454123.407343991</v>
      </c>
      <c r="I162" s="931">
        <f>SUM(I102:I161)</f>
        <v>0</v>
      </c>
      <c r="J162" s="931"/>
      <c r="K162" s="931"/>
      <c r="L162" s="931"/>
      <c r="M162" s="931"/>
      <c r="N162" s="931"/>
      <c r="O162" s="4"/>
      <c r="P162" s="931"/>
    </row>
    <row r="163" spans="1:16">
      <c r="D163" s="78"/>
      <c r="E163" s="4"/>
      <c r="F163" s="4"/>
      <c r="G163" s="4"/>
      <c r="H163" s="930"/>
      <c r="I163" s="930"/>
      <c r="J163" s="931"/>
      <c r="K163" s="930"/>
      <c r="L163" s="930"/>
      <c r="M163" s="930"/>
      <c r="N163" s="930"/>
      <c r="O163" s="4"/>
      <c r="P163" s="931"/>
    </row>
    <row r="164" spans="1:16">
      <c r="C164" s="4" t="s">
        <v>600</v>
      </c>
      <c r="D164" s="78"/>
      <c r="E164" s="4"/>
      <c r="F164" s="4"/>
      <c r="G164" s="4"/>
      <c r="H164" s="930"/>
      <c r="I164" s="930"/>
      <c r="J164" s="931"/>
      <c r="K164" s="930"/>
      <c r="L164" s="930"/>
      <c r="M164" s="930"/>
      <c r="N164" s="930"/>
      <c r="O164" s="4"/>
      <c r="P164" s="931"/>
    </row>
    <row r="165" spans="1:16">
      <c r="D165" s="78"/>
      <c r="E165" s="4"/>
      <c r="F165" s="4"/>
      <c r="G165" s="4"/>
      <c r="H165" s="930"/>
      <c r="I165" s="930"/>
      <c r="J165" s="931"/>
      <c r="K165" s="930"/>
      <c r="L165" s="930"/>
      <c r="M165" s="930"/>
      <c r="N165" s="930"/>
      <c r="O165" s="4"/>
      <c r="P165" s="931"/>
    </row>
    <row r="166" spans="1:16">
      <c r="C166" s="4" t="s">
        <v>601</v>
      </c>
      <c r="D166" s="471"/>
      <c r="E166" s="471"/>
      <c r="F166" s="471"/>
      <c r="G166" s="931"/>
      <c r="H166" s="931"/>
      <c r="I166" s="473"/>
      <c r="J166" s="473"/>
      <c r="K166" s="473"/>
      <c r="L166" s="473"/>
      <c r="M166" s="473"/>
      <c r="N166" s="473"/>
      <c r="O166" s="4"/>
      <c r="P166" s="473"/>
    </row>
    <row r="167" spans="1:16">
      <c r="C167" s="4" t="s">
        <v>476</v>
      </c>
      <c r="D167" s="471"/>
      <c r="E167" s="471"/>
      <c r="F167" s="471"/>
      <c r="G167" s="931"/>
      <c r="H167" s="931"/>
      <c r="I167" s="473"/>
      <c r="J167" s="473"/>
      <c r="K167" s="473"/>
      <c r="L167" s="473"/>
      <c r="M167" s="473"/>
      <c r="N167" s="473"/>
      <c r="O167" s="4"/>
      <c r="P167" s="473"/>
    </row>
    <row r="168" spans="1:16">
      <c r="C168" s="4" t="s">
        <v>289</v>
      </c>
      <c r="D168" s="471"/>
      <c r="E168" s="471"/>
      <c r="F168" s="471"/>
      <c r="G168" s="931"/>
      <c r="H168" s="931"/>
      <c r="I168" s="473"/>
      <c r="J168" s="473"/>
      <c r="K168" s="473"/>
      <c r="L168" s="473"/>
      <c r="M168" s="473"/>
      <c r="N168" s="473"/>
      <c r="O168" s="4"/>
      <c r="P168" s="473"/>
    </row>
    <row r="169" spans="1:16">
      <c r="C169" s="472"/>
      <c r="D169" s="471"/>
      <c r="E169" s="471"/>
      <c r="F169" s="471"/>
      <c r="G169" s="931"/>
      <c r="H169" s="931"/>
      <c r="I169" s="473"/>
      <c r="J169" s="473"/>
      <c r="K169" s="473"/>
      <c r="L169" s="473"/>
      <c r="M169" s="473"/>
      <c r="N169" s="473"/>
      <c r="O169" s="4"/>
      <c r="P169" s="473"/>
    </row>
    <row r="170" spans="1:16">
      <c r="C170" s="1303" t="s">
        <v>460</v>
      </c>
      <c r="D170" s="1303"/>
      <c r="E170" s="1303"/>
      <c r="F170" s="1303"/>
      <c r="G170" s="1303"/>
      <c r="H170" s="1303"/>
      <c r="I170" s="1303"/>
      <c r="J170" s="1303"/>
      <c r="K170" s="1303"/>
      <c r="L170" s="1303"/>
      <c r="M170" s="1303"/>
      <c r="N170" s="1303"/>
      <c r="O170" s="1303"/>
    </row>
    <row r="171" spans="1:16">
      <c r="C171" s="1303"/>
      <c r="D171" s="1303"/>
      <c r="E171" s="1303"/>
      <c r="F171" s="1303"/>
      <c r="G171" s="1303"/>
      <c r="H171" s="1303"/>
      <c r="I171" s="1303"/>
      <c r="J171" s="1303"/>
      <c r="K171" s="1303"/>
      <c r="L171" s="1303"/>
      <c r="M171" s="1303"/>
      <c r="N171" s="1303"/>
      <c r="O171" s="1303"/>
    </row>
    <row r="172" spans="1:16">
      <c r="H172" s="961"/>
    </row>
    <row r="173" spans="1:16" ht="20.25">
      <c r="A173" s="413" t="s">
        <v>927</v>
      </c>
      <c r="B173" s="4"/>
      <c r="C173" s="4"/>
      <c r="D173" s="78"/>
      <c r="E173" s="4"/>
      <c r="F173" s="80"/>
      <c r="G173" s="4"/>
      <c r="H173" s="930"/>
      <c r="K173" s="11"/>
      <c r="L173" s="11"/>
      <c r="M173" s="11"/>
      <c r="N173" s="11" t="str">
        <f>"Page "&amp;SUM(P$6:P173)&amp;" of "</f>
        <v xml:space="preserve">Page 3 of </v>
      </c>
      <c r="O173" s="414">
        <f>COUNT(P$6:P$59606)</f>
        <v>14</v>
      </c>
      <c r="P173" s="467">
        <v>1</v>
      </c>
    </row>
    <row r="174" spans="1:16">
      <c r="B174" s="4"/>
      <c r="C174" s="4"/>
      <c r="D174" s="78"/>
      <c r="E174" s="4"/>
      <c r="F174" s="4"/>
      <c r="G174" s="4"/>
      <c r="H174" s="930"/>
      <c r="I174" s="4"/>
      <c r="J174" s="4"/>
      <c r="K174" s="4"/>
      <c r="L174" s="4"/>
      <c r="M174" s="4"/>
      <c r="N174" s="4"/>
      <c r="O174" s="4"/>
    </row>
    <row r="175" spans="1:16" ht="18">
      <c r="B175" s="415" t="s">
        <v>174</v>
      </c>
      <c r="C175" s="474" t="s">
        <v>290</v>
      </c>
      <c r="D175" s="78"/>
      <c r="E175" s="4"/>
      <c r="F175" s="4"/>
      <c r="G175" s="4"/>
      <c r="H175" s="930"/>
      <c r="I175" s="930"/>
      <c r="J175" s="931"/>
      <c r="K175" s="930"/>
      <c r="L175" s="930"/>
      <c r="M175" s="930"/>
      <c r="N175" s="930"/>
      <c r="O175" s="4"/>
      <c r="P175" s="931"/>
    </row>
    <row r="176" spans="1:16" ht="18.75">
      <c r="B176" s="415"/>
      <c r="C176" s="13"/>
      <c r="D176" s="78"/>
      <c r="E176" s="4"/>
      <c r="F176" s="4"/>
      <c r="G176" s="4"/>
      <c r="H176" s="930"/>
      <c r="I176" s="930"/>
      <c r="J176" s="931"/>
      <c r="K176" s="930"/>
      <c r="L176" s="930"/>
      <c r="M176" s="930"/>
      <c r="N176" s="930"/>
      <c r="O176" s="4"/>
      <c r="P176" s="931"/>
    </row>
    <row r="177" spans="1:16" ht="18.75">
      <c r="B177" s="415"/>
      <c r="C177" s="13" t="s">
        <v>291</v>
      </c>
      <c r="D177" s="78"/>
      <c r="E177" s="4"/>
      <c r="F177" s="4"/>
      <c r="G177" s="4"/>
      <c r="H177" s="930"/>
      <c r="I177" s="930"/>
      <c r="J177" s="931"/>
      <c r="K177" s="930"/>
      <c r="L177" s="930"/>
      <c r="M177" s="930"/>
      <c r="N177" s="930"/>
      <c r="O177" s="4"/>
      <c r="P177" s="931"/>
    </row>
    <row r="178" spans="1:16" ht="15.75" thickBot="1">
      <c r="C178" s="250"/>
      <c r="D178" s="78"/>
      <c r="E178" s="4"/>
      <c r="F178" s="4"/>
      <c r="G178" s="4"/>
      <c r="H178" s="930"/>
      <c r="I178" s="930"/>
      <c r="J178" s="931"/>
      <c r="K178" s="930"/>
      <c r="L178" s="930"/>
      <c r="M178" s="930"/>
      <c r="N178" s="930"/>
      <c r="O178" s="4"/>
      <c r="P178" s="931"/>
    </row>
    <row r="179" spans="1:16" ht="15.75">
      <c r="C179" s="416" t="s">
        <v>292</v>
      </c>
      <c r="D179" s="78"/>
      <c r="E179" s="4"/>
      <c r="F179" s="4"/>
      <c r="G179" s="932"/>
      <c r="H179" s="4" t="s">
        <v>271</v>
      </c>
      <c r="I179" s="4"/>
      <c r="J179" s="4"/>
      <c r="K179" s="475" t="s">
        <v>296</v>
      </c>
      <c r="L179" s="476"/>
      <c r="M179" s="477"/>
      <c r="N179" s="933">
        <f>VLOOKUP(I185,C192:O251,5)</f>
        <v>283775.39420299482</v>
      </c>
      <c r="O179" s="4"/>
    </row>
    <row r="180" spans="1:16" ht="15.75">
      <c r="C180" s="416"/>
      <c r="D180" s="78"/>
      <c r="E180" s="4"/>
      <c r="F180" s="4"/>
      <c r="G180" s="4"/>
      <c r="H180" s="934"/>
      <c r="I180" s="934"/>
      <c r="J180" s="935"/>
      <c r="K180" s="480" t="s">
        <v>297</v>
      </c>
      <c r="L180" s="936"/>
      <c r="M180" s="4"/>
      <c r="N180" s="937">
        <f>VLOOKUP(I185,C192:O251,6)</f>
        <v>283775.39420299482</v>
      </c>
      <c r="O180" s="4"/>
      <c r="P180" s="935"/>
    </row>
    <row r="181" spans="1:16" ht="13.5" thickBot="1">
      <c r="C181" s="481" t="s">
        <v>293</v>
      </c>
      <c r="D181" s="1304" t="s">
        <v>930</v>
      </c>
      <c r="E181" s="1304"/>
      <c r="F181" s="1304"/>
      <c r="G181" s="1304"/>
      <c r="H181" s="930"/>
      <c r="I181" s="930"/>
      <c r="J181" s="931"/>
      <c r="K181" s="938" t="s">
        <v>450</v>
      </c>
      <c r="L181" s="939"/>
      <c r="M181" s="939"/>
      <c r="N181" s="940">
        <f>+N180-N179</f>
        <v>0</v>
      </c>
      <c r="O181" s="4"/>
      <c r="P181" s="931"/>
    </row>
    <row r="182" spans="1:16">
      <c r="C182" s="483"/>
      <c r="D182" s="484"/>
      <c r="E182" s="471"/>
      <c r="F182" s="471"/>
      <c r="G182" s="485"/>
      <c r="H182" s="930"/>
      <c r="I182" s="930"/>
      <c r="J182" s="931"/>
      <c r="K182" s="930"/>
      <c r="L182" s="930"/>
      <c r="M182" s="930"/>
      <c r="N182" s="930"/>
      <c r="O182" s="4"/>
      <c r="P182" s="931"/>
    </row>
    <row r="183" spans="1:16" ht="13.5" thickBot="1">
      <c r="C183" s="483"/>
      <c r="D183" s="4"/>
      <c r="E183" s="485"/>
      <c r="F183" s="485"/>
      <c r="G183" s="485"/>
      <c r="H183" s="485"/>
      <c r="I183" s="485"/>
      <c r="J183" s="485"/>
      <c r="K183" s="485"/>
      <c r="L183" s="485"/>
      <c r="M183" s="485"/>
      <c r="N183" s="485"/>
      <c r="O183" s="4"/>
      <c r="P183" s="485"/>
    </row>
    <row r="184" spans="1:16" ht="13.5" thickBot="1">
      <c r="C184" s="487" t="s">
        <v>294</v>
      </c>
      <c r="D184" s="488"/>
      <c r="E184" s="488"/>
      <c r="F184" s="488"/>
      <c r="G184" s="488"/>
      <c r="H184" s="488"/>
      <c r="I184" s="489"/>
      <c r="K184" s="4"/>
      <c r="L184" s="4"/>
      <c r="M184" s="4"/>
      <c r="N184" s="4"/>
      <c r="O184" s="4"/>
    </row>
    <row r="185" spans="1:16" ht="15">
      <c r="C185" s="490" t="s">
        <v>272</v>
      </c>
      <c r="D185" s="941">
        <v>2426728</v>
      </c>
      <c r="E185" s="4" t="s">
        <v>273</v>
      </c>
      <c r="G185" s="78"/>
      <c r="H185" s="78"/>
      <c r="I185" s="491">
        <v>2018</v>
      </c>
      <c r="J185" s="134"/>
      <c r="K185" s="1302" t="s">
        <v>459</v>
      </c>
      <c r="L185" s="1302"/>
      <c r="M185" s="1302"/>
      <c r="N185" s="1302"/>
      <c r="O185" s="1302"/>
      <c r="P185" s="134"/>
    </row>
    <row r="186" spans="1:16">
      <c r="C186" s="490" t="s">
        <v>275</v>
      </c>
      <c r="D186" s="644">
        <v>2011</v>
      </c>
      <c r="E186" s="490" t="s">
        <v>276</v>
      </c>
      <c r="F186" s="78"/>
      <c r="H186"/>
      <c r="I186" s="647">
        <f>IF(G179="",0,$F$15)</f>
        <v>0</v>
      </c>
      <c r="J186" s="492"/>
      <c r="K186" s="931" t="s">
        <v>459</v>
      </c>
      <c r="P186" s="492"/>
    </row>
    <row r="187" spans="1:16">
      <c r="C187" s="490" t="s">
        <v>277</v>
      </c>
      <c r="D187" s="942">
        <v>12</v>
      </c>
      <c r="E187" s="490" t="s">
        <v>278</v>
      </c>
      <c r="F187" s="78"/>
      <c r="H187"/>
      <c r="I187" s="493">
        <f>$G$70</f>
        <v>0.11017952320434825</v>
      </c>
      <c r="J187" s="80"/>
      <c r="K187" t="str">
        <f>"          INPUT PROJECTED ARR (WITH &amp; WITHOUT INCENTIVES) FROM EACH PRIOR YEAR"</f>
        <v xml:space="preserve">          INPUT PROJECTED ARR (WITH &amp; WITHOUT INCENTIVES) FROM EACH PRIOR YEAR</v>
      </c>
      <c r="P187" s="80"/>
    </row>
    <row r="188" spans="1:16">
      <c r="C188" s="490" t="s">
        <v>279</v>
      </c>
      <c r="D188" s="494">
        <f>G$79</f>
        <v>42</v>
      </c>
      <c r="E188" s="490" t="s">
        <v>280</v>
      </c>
      <c r="F188" s="78"/>
      <c r="H188"/>
      <c r="I188" s="493">
        <f>IF(G179="",I187,$G$67)</f>
        <v>0.11017952320434825</v>
      </c>
      <c r="J188" s="80"/>
      <c r="K188" t="s">
        <v>357</v>
      </c>
      <c r="P188" s="80"/>
    </row>
    <row r="189" spans="1:16" ht="13.5" thickBot="1">
      <c r="C189" s="490" t="s">
        <v>281</v>
      </c>
      <c r="D189" s="646" t="s">
        <v>929</v>
      </c>
      <c r="E189" s="495" t="s">
        <v>282</v>
      </c>
      <c r="F189" s="496"/>
      <c r="G189" s="497"/>
      <c r="H189" s="497"/>
      <c r="I189" s="940">
        <f>IF(D185=0,0,D185/D188)</f>
        <v>57779.238095238092</v>
      </c>
      <c r="J189" s="931"/>
      <c r="K189" s="931" t="s">
        <v>363</v>
      </c>
      <c r="L189" s="931"/>
      <c r="M189" s="931"/>
      <c r="N189" s="931"/>
      <c r="O189" s="4"/>
      <c r="P189" s="931"/>
    </row>
    <row r="190" spans="1:16" ht="51">
      <c r="A190" s="12"/>
      <c r="B190" s="12"/>
      <c r="C190" s="498" t="s">
        <v>272</v>
      </c>
      <c r="D190" s="943" t="s">
        <v>283</v>
      </c>
      <c r="E190" s="944" t="s">
        <v>284</v>
      </c>
      <c r="F190" s="943" t="s">
        <v>285</v>
      </c>
      <c r="G190" s="944" t="s">
        <v>356</v>
      </c>
      <c r="H190" s="945" t="s">
        <v>356</v>
      </c>
      <c r="I190" s="498" t="s">
        <v>295</v>
      </c>
      <c r="J190" s="502"/>
      <c r="K190" s="944" t="s">
        <v>365</v>
      </c>
      <c r="L190" s="946"/>
      <c r="M190" s="944" t="s">
        <v>365</v>
      </c>
      <c r="N190" s="946"/>
      <c r="O190" s="946"/>
      <c r="P190" s="127"/>
    </row>
    <row r="191" spans="1:16" ht="13.5" thickBot="1">
      <c r="C191" s="503" t="s">
        <v>177</v>
      </c>
      <c r="D191" s="504" t="s">
        <v>178</v>
      </c>
      <c r="E191" s="503" t="s">
        <v>37</v>
      </c>
      <c r="F191" s="504" t="s">
        <v>178</v>
      </c>
      <c r="G191" s="947" t="s">
        <v>298</v>
      </c>
      <c r="H191" s="948" t="s">
        <v>300</v>
      </c>
      <c r="I191" s="503" t="s">
        <v>389</v>
      </c>
      <c r="J191" s="507"/>
      <c r="K191" s="947" t="s">
        <v>287</v>
      </c>
      <c r="L191" s="949"/>
      <c r="M191" s="947" t="s">
        <v>300</v>
      </c>
      <c r="N191" s="949"/>
      <c r="O191" s="949"/>
      <c r="P191" s="134"/>
    </row>
    <row r="192" spans="1:16">
      <c r="C192" s="508">
        <f>IF(D186= "","-",D186)</f>
        <v>2011</v>
      </c>
      <c r="D192" s="471">
        <f>+D185</f>
        <v>2426728</v>
      </c>
      <c r="E192" s="950">
        <f>+I189/12*(12-D187)</f>
        <v>0</v>
      </c>
      <c r="F192" s="471">
        <f t="shared" ref="F192:F251" si="6">+D192-E192</f>
        <v>2426728</v>
      </c>
      <c r="G192" s="951">
        <f>+$I$187*((D192+F192)/2)+E192</f>
        <v>267375.73398664163</v>
      </c>
      <c r="H192" s="952">
        <f>+$I$188*((D192+F192)/2)+E192</f>
        <v>267375.73398664163</v>
      </c>
      <c r="I192" s="512">
        <f>+H192-G192</f>
        <v>0</v>
      </c>
      <c r="J192" s="512"/>
      <c r="K192" s="648" t="s">
        <v>114</v>
      </c>
      <c r="L192" s="514"/>
      <c r="M192" s="648" t="s">
        <v>114</v>
      </c>
      <c r="N192" s="514"/>
      <c r="O192" s="514"/>
      <c r="P192" s="473"/>
    </row>
    <row r="193" spans="3:16">
      <c r="C193" s="508">
        <f>IF(D186="","-",+C192+1)</f>
        <v>2012</v>
      </c>
      <c r="D193" s="471">
        <f>F192</f>
        <v>2426728</v>
      </c>
      <c r="E193" s="515">
        <f>IF(D193&gt;$I$189,$I$189,D193)</f>
        <v>57779.238095238092</v>
      </c>
      <c r="F193" s="471">
        <f>+D193-E193</f>
        <v>2368948.7619047621</v>
      </c>
      <c r="G193" s="950">
        <f t="shared" ref="G193:G251" si="7">+$I$187*((D193+F193)/2)+E193</f>
        <v>321971.92762965779</v>
      </c>
      <c r="H193" s="953">
        <f t="shared" ref="H193:H251" si="8">+$I$188*((D193+F193)/2)+E193</f>
        <v>321971.92762965779</v>
      </c>
      <c r="I193" s="512">
        <f t="shared" ref="I193:I251" si="9">+H193-G193</f>
        <v>0</v>
      </c>
      <c r="J193" s="512"/>
      <c r="K193" s="962" t="s">
        <v>114</v>
      </c>
      <c r="L193" s="518"/>
      <c r="M193" s="962" t="s">
        <v>114</v>
      </c>
      <c r="N193" s="518"/>
      <c r="O193" s="518"/>
      <c r="P193" s="473"/>
    </row>
    <row r="194" spans="3:16">
      <c r="C194" s="508">
        <f>IF(D186="","-",+C193+1)</f>
        <v>2013</v>
      </c>
      <c r="D194" s="471">
        <f>F193</f>
        <v>2368948.7619047621</v>
      </c>
      <c r="E194" s="515">
        <f t="shared" ref="E194:E251" si="10">IF(D194&gt;$I$189,$I$189,D194)</f>
        <v>57779.238095238092</v>
      </c>
      <c r="F194" s="471">
        <f t="shared" si="6"/>
        <v>2311169.5238095243</v>
      </c>
      <c r="G194" s="950">
        <f t="shared" si="7"/>
        <v>315605.83872521395</v>
      </c>
      <c r="H194" s="953">
        <f t="shared" si="8"/>
        <v>315605.83872521395</v>
      </c>
      <c r="I194" s="512">
        <f t="shared" si="9"/>
        <v>0</v>
      </c>
      <c r="J194" s="512"/>
      <c r="K194" s="962">
        <v>41778</v>
      </c>
      <c r="L194" s="963"/>
      <c r="M194" s="962">
        <v>41778</v>
      </c>
      <c r="N194" s="518"/>
      <c r="O194" s="518"/>
      <c r="P194" s="473"/>
    </row>
    <row r="195" spans="3:16">
      <c r="C195" s="508">
        <f>IF(D186="","-",+C194+1)</f>
        <v>2014</v>
      </c>
      <c r="D195" s="471">
        <f t="shared" ref="D195:D251" si="11">F194</f>
        <v>2311169.5238095243</v>
      </c>
      <c r="E195" s="515">
        <f t="shared" si="10"/>
        <v>57779.238095238092</v>
      </c>
      <c r="F195" s="471">
        <f t="shared" si="6"/>
        <v>2253390.2857142864</v>
      </c>
      <c r="G195" s="950">
        <f t="shared" si="7"/>
        <v>309239.74982077017</v>
      </c>
      <c r="H195" s="953">
        <f t="shared" si="8"/>
        <v>309239.74982077017</v>
      </c>
      <c r="I195" s="512">
        <f t="shared" si="9"/>
        <v>0</v>
      </c>
      <c r="J195" s="512"/>
      <c r="K195" s="962">
        <v>36470</v>
      </c>
      <c r="L195" s="518"/>
      <c r="M195" s="962">
        <v>36470</v>
      </c>
      <c r="N195" s="518"/>
      <c r="O195" s="518"/>
      <c r="P195" s="473"/>
    </row>
    <row r="196" spans="3:16">
      <c r="C196" s="508">
        <f>IF(D186="","-",+C195+1)</f>
        <v>2015</v>
      </c>
      <c r="D196" s="471">
        <f t="shared" si="11"/>
        <v>2253390.2857142864</v>
      </c>
      <c r="E196" s="515">
        <f t="shared" si="10"/>
        <v>57779.238095238092</v>
      </c>
      <c r="F196" s="471">
        <f t="shared" si="6"/>
        <v>2195611.0476190485</v>
      </c>
      <c r="G196" s="950">
        <f t="shared" si="7"/>
        <v>302873.66091632633</v>
      </c>
      <c r="H196" s="953">
        <f t="shared" si="8"/>
        <v>302873.66091632633</v>
      </c>
      <c r="I196" s="512">
        <f t="shared" si="9"/>
        <v>0</v>
      </c>
      <c r="J196" s="512"/>
      <c r="K196" s="649">
        <v>36769</v>
      </c>
      <c r="L196" s="518"/>
      <c r="M196" s="649">
        <v>36769</v>
      </c>
      <c r="N196" s="518"/>
      <c r="O196" s="518"/>
      <c r="P196" s="473"/>
    </row>
    <row r="197" spans="3:16">
      <c r="C197" s="508">
        <f>IF(D186="","-",+C196+1)</f>
        <v>2016</v>
      </c>
      <c r="D197" s="471">
        <f t="shared" si="11"/>
        <v>2195611.0476190485</v>
      </c>
      <c r="E197" s="515">
        <f t="shared" si="10"/>
        <v>57779.238095238092</v>
      </c>
      <c r="F197" s="471">
        <f t="shared" si="6"/>
        <v>2137831.8095238106</v>
      </c>
      <c r="G197" s="950">
        <f t="shared" si="7"/>
        <v>296507.5720118825</v>
      </c>
      <c r="H197" s="953">
        <f t="shared" si="8"/>
        <v>296507.5720118825</v>
      </c>
      <c r="I197" s="512">
        <f t="shared" si="9"/>
        <v>0</v>
      </c>
      <c r="J197" s="512"/>
      <c r="K197" s="649">
        <v>35303</v>
      </c>
      <c r="L197" s="518"/>
      <c r="M197" s="649">
        <v>35303</v>
      </c>
      <c r="N197" s="518"/>
      <c r="O197" s="518"/>
      <c r="P197" s="473"/>
    </row>
    <row r="198" spans="3:16">
      <c r="C198" s="508">
        <f>IF(D186="","-",+C197+1)</f>
        <v>2017</v>
      </c>
      <c r="D198" s="471">
        <f t="shared" si="11"/>
        <v>2137831.8095238106</v>
      </c>
      <c r="E198" s="515">
        <f t="shared" si="10"/>
        <v>57779.238095238092</v>
      </c>
      <c r="F198" s="471">
        <f t="shared" si="6"/>
        <v>2080052.5714285725</v>
      </c>
      <c r="G198" s="950">
        <f t="shared" si="7"/>
        <v>290141.48310743866</v>
      </c>
      <c r="H198" s="953">
        <f t="shared" si="8"/>
        <v>290141.48310743866</v>
      </c>
      <c r="I198" s="512">
        <f t="shared" si="9"/>
        <v>0</v>
      </c>
      <c r="J198" s="512"/>
      <c r="K198" s="649">
        <v>36769</v>
      </c>
      <c r="L198" s="518"/>
      <c r="M198" s="649">
        <v>36769</v>
      </c>
      <c r="N198" s="518"/>
      <c r="O198" s="518"/>
      <c r="P198" s="473"/>
    </row>
    <row r="199" spans="3:16">
      <c r="C199" s="954">
        <f>IF(D186="","-",+C198+1)</f>
        <v>2018</v>
      </c>
      <c r="D199" s="955">
        <f t="shared" si="11"/>
        <v>2080052.5714285725</v>
      </c>
      <c r="E199" s="956">
        <f t="shared" si="10"/>
        <v>57779.238095238092</v>
      </c>
      <c r="F199" s="955">
        <f t="shared" si="6"/>
        <v>2022273.3333333344</v>
      </c>
      <c r="G199" s="957">
        <f t="shared" si="7"/>
        <v>283775.39420299482</v>
      </c>
      <c r="H199" s="958">
        <f t="shared" si="8"/>
        <v>283775.39420299482</v>
      </c>
      <c r="I199" s="964">
        <f t="shared" si="9"/>
        <v>0</v>
      </c>
      <c r="J199" s="512"/>
      <c r="K199" s="649"/>
      <c r="L199" s="518"/>
      <c r="M199" s="649"/>
      <c r="N199" s="518"/>
      <c r="O199" s="518"/>
      <c r="P199" s="473"/>
    </row>
    <row r="200" spans="3:16">
      <c r="C200" s="508">
        <f>IF(D186="","-",+C199+1)</f>
        <v>2019</v>
      </c>
      <c r="D200" s="471">
        <f t="shared" si="11"/>
        <v>2022273.3333333344</v>
      </c>
      <c r="E200" s="515">
        <f t="shared" si="10"/>
        <v>57779.238095238092</v>
      </c>
      <c r="F200" s="471">
        <f t="shared" si="6"/>
        <v>1964494.0952380963</v>
      </c>
      <c r="G200" s="950">
        <f t="shared" si="7"/>
        <v>277409.30529855099</v>
      </c>
      <c r="H200" s="953">
        <f t="shared" si="8"/>
        <v>277409.30529855099</v>
      </c>
      <c r="I200" s="512">
        <f t="shared" si="9"/>
        <v>0</v>
      </c>
      <c r="J200" s="512"/>
      <c r="K200" s="649"/>
      <c r="L200" s="518"/>
      <c r="M200" s="649"/>
      <c r="N200" s="518"/>
      <c r="O200" s="518"/>
      <c r="P200" s="473"/>
    </row>
    <row r="201" spans="3:16">
      <c r="C201" s="508">
        <f>IF(D186="","-",+C200+1)</f>
        <v>2020</v>
      </c>
      <c r="D201" s="471">
        <f t="shared" si="11"/>
        <v>1964494.0952380963</v>
      </c>
      <c r="E201" s="515">
        <f t="shared" si="10"/>
        <v>57779.238095238092</v>
      </c>
      <c r="F201" s="471">
        <f t="shared" si="6"/>
        <v>1906714.8571428582</v>
      </c>
      <c r="G201" s="950">
        <f t="shared" si="7"/>
        <v>271043.21639410709</v>
      </c>
      <c r="H201" s="953">
        <f t="shared" si="8"/>
        <v>271043.21639410709</v>
      </c>
      <c r="I201" s="512">
        <f t="shared" si="9"/>
        <v>0</v>
      </c>
      <c r="J201" s="512"/>
      <c r="K201" s="649"/>
      <c r="L201" s="518"/>
      <c r="M201" s="649"/>
      <c r="N201" s="518"/>
      <c r="O201" s="518"/>
      <c r="P201" s="473"/>
    </row>
    <row r="202" spans="3:16">
      <c r="C202" s="508">
        <f>IF(D186="","-",+C201+1)</f>
        <v>2021</v>
      </c>
      <c r="D202" s="471">
        <f t="shared" si="11"/>
        <v>1906714.8571428582</v>
      </c>
      <c r="E202" s="515">
        <f t="shared" si="10"/>
        <v>57779.238095238092</v>
      </c>
      <c r="F202" s="471">
        <f t="shared" si="6"/>
        <v>1848935.6190476201</v>
      </c>
      <c r="G202" s="950">
        <f t="shared" si="7"/>
        <v>264677.12748966325</v>
      </c>
      <c r="H202" s="953">
        <f t="shared" si="8"/>
        <v>264677.12748966325</v>
      </c>
      <c r="I202" s="512">
        <f t="shared" si="9"/>
        <v>0</v>
      </c>
      <c r="J202" s="512"/>
      <c r="K202" s="649"/>
      <c r="L202" s="518"/>
      <c r="M202" s="649"/>
      <c r="N202" s="518"/>
      <c r="O202" s="518"/>
      <c r="P202" s="473"/>
    </row>
    <row r="203" spans="3:16">
      <c r="C203" s="508">
        <f>IF(D186="","-",+C202+1)</f>
        <v>2022</v>
      </c>
      <c r="D203" s="471">
        <f t="shared" si="11"/>
        <v>1848935.6190476201</v>
      </c>
      <c r="E203" s="515">
        <f t="shared" si="10"/>
        <v>57779.238095238092</v>
      </c>
      <c r="F203" s="471">
        <f t="shared" si="6"/>
        <v>1791156.380952382</v>
      </c>
      <c r="G203" s="950">
        <f t="shared" si="7"/>
        <v>258311.03858521942</v>
      </c>
      <c r="H203" s="953">
        <f t="shared" si="8"/>
        <v>258311.03858521942</v>
      </c>
      <c r="I203" s="512">
        <f t="shared" si="9"/>
        <v>0</v>
      </c>
      <c r="J203" s="512"/>
      <c r="K203" s="649"/>
      <c r="L203" s="518"/>
      <c r="M203" s="649"/>
      <c r="N203" s="518"/>
      <c r="O203" s="518"/>
      <c r="P203" s="473"/>
    </row>
    <row r="204" spans="3:16">
      <c r="C204" s="508">
        <f>IF(D186="","-",+C203+1)</f>
        <v>2023</v>
      </c>
      <c r="D204" s="471">
        <f t="shared" si="11"/>
        <v>1791156.380952382</v>
      </c>
      <c r="E204" s="515">
        <f t="shared" si="10"/>
        <v>57779.238095238092</v>
      </c>
      <c r="F204" s="471">
        <f t="shared" si="6"/>
        <v>1733377.1428571439</v>
      </c>
      <c r="G204" s="950">
        <f t="shared" si="7"/>
        <v>251944.94968077558</v>
      </c>
      <c r="H204" s="953">
        <f t="shared" si="8"/>
        <v>251944.94968077558</v>
      </c>
      <c r="I204" s="512">
        <f t="shared" si="9"/>
        <v>0</v>
      </c>
      <c r="J204" s="512"/>
      <c r="K204" s="649"/>
      <c r="L204" s="518"/>
      <c r="M204" s="649"/>
      <c r="N204" s="519"/>
      <c r="O204" s="518"/>
      <c r="P204" s="473"/>
    </row>
    <row r="205" spans="3:16">
      <c r="C205" s="508">
        <f>IF(D186="","-",+C204+1)</f>
        <v>2024</v>
      </c>
      <c r="D205" s="471">
        <f t="shared" si="11"/>
        <v>1733377.1428571439</v>
      </c>
      <c r="E205" s="515">
        <f t="shared" si="10"/>
        <v>57779.238095238092</v>
      </c>
      <c r="F205" s="471">
        <f t="shared" si="6"/>
        <v>1675597.9047619058</v>
      </c>
      <c r="G205" s="950">
        <f t="shared" si="7"/>
        <v>245578.86077633168</v>
      </c>
      <c r="H205" s="953">
        <f t="shared" si="8"/>
        <v>245578.86077633168</v>
      </c>
      <c r="I205" s="512">
        <f t="shared" si="9"/>
        <v>0</v>
      </c>
      <c r="J205" s="512"/>
      <c r="K205" s="649"/>
      <c r="L205" s="518"/>
      <c r="M205" s="649"/>
      <c r="N205" s="518"/>
      <c r="O205" s="518"/>
      <c r="P205" s="473"/>
    </row>
    <row r="206" spans="3:16">
      <c r="C206" s="508">
        <f>IF(D186="","-",+C205+1)</f>
        <v>2025</v>
      </c>
      <c r="D206" s="471">
        <f t="shared" si="11"/>
        <v>1675597.9047619058</v>
      </c>
      <c r="E206" s="515">
        <f t="shared" si="10"/>
        <v>57779.238095238092</v>
      </c>
      <c r="F206" s="471">
        <f t="shared" si="6"/>
        <v>1617818.6666666677</v>
      </c>
      <c r="G206" s="950">
        <f t="shared" si="7"/>
        <v>239212.7718718879</v>
      </c>
      <c r="H206" s="953">
        <f t="shared" si="8"/>
        <v>239212.7718718879</v>
      </c>
      <c r="I206" s="512">
        <f t="shared" si="9"/>
        <v>0</v>
      </c>
      <c r="J206" s="512"/>
      <c r="K206" s="649"/>
      <c r="L206" s="518"/>
      <c r="M206" s="649"/>
      <c r="N206" s="518"/>
      <c r="O206" s="518"/>
      <c r="P206" s="473"/>
    </row>
    <row r="207" spans="3:16">
      <c r="C207" s="508">
        <f>IF(D186="","-",+C206+1)</f>
        <v>2026</v>
      </c>
      <c r="D207" s="471">
        <f t="shared" si="11"/>
        <v>1617818.6666666677</v>
      </c>
      <c r="E207" s="515">
        <f t="shared" si="10"/>
        <v>57779.238095238092</v>
      </c>
      <c r="F207" s="471">
        <f t="shared" si="6"/>
        <v>1560039.4285714296</v>
      </c>
      <c r="G207" s="950">
        <f t="shared" si="7"/>
        <v>232846.68296744401</v>
      </c>
      <c r="H207" s="953">
        <f t="shared" si="8"/>
        <v>232846.68296744401</v>
      </c>
      <c r="I207" s="512">
        <f t="shared" si="9"/>
        <v>0</v>
      </c>
      <c r="J207" s="512"/>
      <c r="K207" s="649"/>
      <c r="L207" s="518"/>
      <c r="M207" s="649"/>
      <c r="N207" s="518"/>
      <c r="O207" s="518"/>
      <c r="P207" s="473"/>
    </row>
    <row r="208" spans="3:16">
      <c r="C208" s="508">
        <f>IF(D186="","-",+C207+1)</f>
        <v>2027</v>
      </c>
      <c r="D208" s="471">
        <f t="shared" si="11"/>
        <v>1560039.4285714296</v>
      </c>
      <c r="E208" s="515">
        <f t="shared" si="10"/>
        <v>57779.238095238092</v>
      </c>
      <c r="F208" s="471">
        <f t="shared" si="6"/>
        <v>1502260.1904761915</v>
      </c>
      <c r="G208" s="950">
        <f t="shared" si="7"/>
        <v>226480.59406300017</v>
      </c>
      <c r="H208" s="953">
        <f t="shared" si="8"/>
        <v>226480.59406300017</v>
      </c>
      <c r="I208" s="512">
        <f t="shared" si="9"/>
        <v>0</v>
      </c>
      <c r="J208" s="512"/>
      <c r="K208" s="649"/>
      <c r="L208" s="518"/>
      <c r="M208" s="649"/>
      <c r="N208" s="518"/>
      <c r="O208" s="518"/>
      <c r="P208" s="473"/>
    </row>
    <row r="209" spans="3:16">
      <c r="C209" s="508">
        <f>IF(D186="","-",+C208+1)</f>
        <v>2028</v>
      </c>
      <c r="D209" s="471">
        <f t="shared" si="11"/>
        <v>1502260.1904761915</v>
      </c>
      <c r="E209" s="515">
        <f t="shared" si="10"/>
        <v>57779.238095238092</v>
      </c>
      <c r="F209" s="471">
        <f t="shared" si="6"/>
        <v>1444480.9523809534</v>
      </c>
      <c r="G209" s="950">
        <f t="shared" si="7"/>
        <v>220114.50515855633</v>
      </c>
      <c r="H209" s="953">
        <f t="shared" si="8"/>
        <v>220114.50515855633</v>
      </c>
      <c r="I209" s="512">
        <f t="shared" si="9"/>
        <v>0</v>
      </c>
      <c r="J209" s="512"/>
      <c r="K209" s="649"/>
      <c r="L209" s="518"/>
      <c r="M209" s="649"/>
      <c r="N209" s="518"/>
      <c r="O209" s="518"/>
      <c r="P209" s="473"/>
    </row>
    <row r="210" spans="3:16">
      <c r="C210" s="508">
        <f>IF(D186="","-",+C209+1)</f>
        <v>2029</v>
      </c>
      <c r="D210" s="471">
        <f t="shared" si="11"/>
        <v>1444480.9523809534</v>
      </c>
      <c r="E210" s="515">
        <f t="shared" si="10"/>
        <v>57779.238095238092</v>
      </c>
      <c r="F210" s="471">
        <f t="shared" si="6"/>
        <v>1386701.7142857153</v>
      </c>
      <c r="G210" s="950">
        <f t="shared" si="7"/>
        <v>213748.4162541125</v>
      </c>
      <c r="H210" s="953">
        <f t="shared" si="8"/>
        <v>213748.4162541125</v>
      </c>
      <c r="I210" s="512">
        <f t="shared" si="9"/>
        <v>0</v>
      </c>
      <c r="J210" s="512"/>
      <c r="K210" s="649"/>
      <c r="L210" s="518"/>
      <c r="M210" s="649"/>
      <c r="N210" s="518"/>
      <c r="O210" s="518"/>
      <c r="P210" s="473"/>
    </row>
    <row r="211" spans="3:16">
      <c r="C211" s="508">
        <f>IF(D186="","-",+C210+1)</f>
        <v>2030</v>
      </c>
      <c r="D211" s="471">
        <f t="shared" si="11"/>
        <v>1386701.7142857153</v>
      </c>
      <c r="E211" s="515">
        <f t="shared" si="10"/>
        <v>57779.238095238092</v>
      </c>
      <c r="F211" s="471">
        <f t="shared" si="6"/>
        <v>1328922.4761904771</v>
      </c>
      <c r="G211" s="950">
        <f t="shared" si="7"/>
        <v>207382.3273496686</v>
      </c>
      <c r="H211" s="953">
        <f t="shared" si="8"/>
        <v>207382.3273496686</v>
      </c>
      <c r="I211" s="512">
        <f t="shared" si="9"/>
        <v>0</v>
      </c>
      <c r="J211" s="512"/>
      <c r="K211" s="649"/>
      <c r="L211" s="518"/>
      <c r="M211" s="649"/>
      <c r="N211" s="518"/>
      <c r="O211" s="518"/>
      <c r="P211" s="473"/>
    </row>
    <row r="212" spans="3:16">
      <c r="C212" s="508">
        <f>IF(D186="","-",+C211+1)</f>
        <v>2031</v>
      </c>
      <c r="D212" s="471">
        <f t="shared" si="11"/>
        <v>1328922.4761904771</v>
      </c>
      <c r="E212" s="515">
        <f t="shared" si="10"/>
        <v>57779.238095238092</v>
      </c>
      <c r="F212" s="471">
        <f t="shared" si="6"/>
        <v>1271143.238095239</v>
      </c>
      <c r="G212" s="950">
        <f t="shared" si="7"/>
        <v>201016.23844522476</v>
      </c>
      <c r="H212" s="953">
        <f t="shared" si="8"/>
        <v>201016.23844522476</v>
      </c>
      <c r="I212" s="512">
        <f t="shared" si="9"/>
        <v>0</v>
      </c>
      <c r="J212" s="512"/>
      <c r="K212" s="649"/>
      <c r="L212" s="518"/>
      <c r="M212" s="649"/>
      <c r="N212" s="518"/>
      <c r="O212" s="518"/>
      <c r="P212" s="473"/>
    </row>
    <row r="213" spans="3:16">
      <c r="C213" s="508">
        <f>IF(D186="","-",+C212+1)</f>
        <v>2032</v>
      </c>
      <c r="D213" s="471">
        <f t="shared" si="11"/>
        <v>1271143.238095239</v>
      </c>
      <c r="E213" s="515">
        <f t="shared" si="10"/>
        <v>57779.238095238092</v>
      </c>
      <c r="F213" s="471">
        <f t="shared" si="6"/>
        <v>1213364.0000000009</v>
      </c>
      <c r="G213" s="950">
        <f t="shared" si="7"/>
        <v>194650.14954078093</v>
      </c>
      <c r="H213" s="953">
        <f t="shared" si="8"/>
        <v>194650.14954078093</v>
      </c>
      <c r="I213" s="512">
        <f t="shared" si="9"/>
        <v>0</v>
      </c>
      <c r="J213" s="512"/>
      <c r="K213" s="649"/>
      <c r="L213" s="518"/>
      <c r="M213" s="649"/>
      <c r="N213" s="518"/>
      <c r="O213" s="518"/>
      <c r="P213" s="473"/>
    </row>
    <row r="214" spans="3:16">
      <c r="C214" s="508">
        <f>IF(D186="","-",+C213+1)</f>
        <v>2033</v>
      </c>
      <c r="D214" s="471">
        <f t="shared" si="11"/>
        <v>1213364.0000000009</v>
      </c>
      <c r="E214" s="515">
        <f t="shared" si="10"/>
        <v>57779.238095238092</v>
      </c>
      <c r="F214" s="471">
        <f t="shared" si="6"/>
        <v>1155584.7619047628</v>
      </c>
      <c r="G214" s="950">
        <f t="shared" si="7"/>
        <v>188284.06063633709</v>
      </c>
      <c r="H214" s="953">
        <f t="shared" si="8"/>
        <v>188284.06063633709</v>
      </c>
      <c r="I214" s="512">
        <f t="shared" si="9"/>
        <v>0</v>
      </c>
      <c r="J214" s="512"/>
      <c r="K214" s="649"/>
      <c r="L214" s="518"/>
      <c r="M214" s="649"/>
      <c r="N214" s="518"/>
      <c r="O214" s="518"/>
      <c r="P214" s="473"/>
    </row>
    <row r="215" spans="3:16">
      <c r="C215" s="508">
        <f>IF(D186="","-",+C214+1)</f>
        <v>2034</v>
      </c>
      <c r="D215" s="471">
        <f t="shared" si="11"/>
        <v>1155584.7619047628</v>
      </c>
      <c r="E215" s="515">
        <f t="shared" si="10"/>
        <v>57779.238095238092</v>
      </c>
      <c r="F215" s="471">
        <f t="shared" si="6"/>
        <v>1097805.5238095247</v>
      </c>
      <c r="G215" s="950">
        <f t="shared" si="7"/>
        <v>181917.97173189319</v>
      </c>
      <c r="H215" s="953">
        <f t="shared" si="8"/>
        <v>181917.97173189319</v>
      </c>
      <c r="I215" s="512">
        <f t="shared" si="9"/>
        <v>0</v>
      </c>
      <c r="J215" s="512"/>
      <c r="K215" s="649"/>
      <c r="L215" s="518"/>
      <c r="M215" s="649"/>
      <c r="N215" s="518"/>
      <c r="O215" s="518"/>
      <c r="P215" s="473"/>
    </row>
    <row r="216" spans="3:16">
      <c r="C216" s="508">
        <f>IF(D186="","-",+C215+1)</f>
        <v>2035</v>
      </c>
      <c r="D216" s="471">
        <f t="shared" si="11"/>
        <v>1097805.5238095247</v>
      </c>
      <c r="E216" s="515">
        <f t="shared" si="10"/>
        <v>57779.238095238092</v>
      </c>
      <c r="F216" s="471">
        <f t="shared" si="6"/>
        <v>1040026.2857142866</v>
      </c>
      <c r="G216" s="950">
        <f t="shared" si="7"/>
        <v>175551.88282744939</v>
      </c>
      <c r="H216" s="953">
        <f t="shared" si="8"/>
        <v>175551.88282744939</v>
      </c>
      <c r="I216" s="512">
        <f t="shared" si="9"/>
        <v>0</v>
      </c>
      <c r="J216" s="512"/>
      <c r="K216" s="649"/>
      <c r="L216" s="518"/>
      <c r="M216" s="649"/>
      <c r="N216" s="518"/>
      <c r="O216" s="518"/>
      <c r="P216" s="473"/>
    </row>
    <row r="217" spans="3:16">
      <c r="C217" s="508">
        <f>IF(D186="","-",+C216+1)</f>
        <v>2036</v>
      </c>
      <c r="D217" s="471">
        <f t="shared" si="11"/>
        <v>1040026.2857142866</v>
      </c>
      <c r="E217" s="515">
        <f t="shared" si="10"/>
        <v>57779.238095238092</v>
      </c>
      <c r="F217" s="471">
        <f t="shared" si="6"/>
        <v>982247.04761904851</v>
      </c>
      <c r="G217" s="950">
        <f t="shared" si="7"/>
        <v>169185.79392300552</v>
      </c>
      <c r="H217" s="953">
        <f t="shared" si="8"/>
        <v>169185.79392300552</v>
      </c>
      <c r="I217" s="512">
        <f t="shared" si="9"/>
        <v>0</v>
      </c>
      <c r="J217" s="512"/>
      <c r="K217" s="649"/>
      <c r="L217" s="518"/>
      <c r="M217" s="649"/>
      <c r="N217" s="518"/>
      <c r="O217" s="518"/>
      <c r="P217" s="473"/>
    </row>
    <row r="218" spans="3:16">
      <c r="C218" s="508">
        <f>IF(D186="","-",+C217+1)</f>
        <v>2037</v>
      </c>
      <c r="D218" s="471">
        <f t="shared" si="11"/>
        <v>982247.04761904851</v>
      </c>
      <c r="E218" s="515">
        <f t="shared" si="10"/>
        <v>57779.238095238092</v>
      </c>
      <c r="F218" s="471">
        <f t="shared" si="6"/>
        <v>924467.8095238104</v>
      </c>
      <c r="G218" s="950">
        <f t="shared" si="7"/>
        <v>162819.70501856168</v>
      </c>
      <c r="H218" s="953">
        <f t="shared" si="8"/>
        <v>162819.70501856168</v>
      </c>
      <c r="I218" s="512">
        <f t="shared" si="9"/>
        <v>0</v>
      </c>
      <c r="J218" s="512"/>
      <c r="K218" s="649"/>
      <c r="L218" s="518"/>
      <c r="M218" s="649"/>
      <c r="N218" s="518"/>
      <c r="O218" s="518"/>
      <c r="P218" s="473"/>
    </row>
    <row r="219" spans="3:16">
      <c r="C219" s="508">
        <f>IF(D186="","-",+C218+1)</f>
        <v>2038</v>
      </c>
      <c r="D219" s="471">
        <f t="shared" si="11"/>
        <v>924467.8095238104</v>
      </c>
      <c r="E219" s="515">
        <f t="shared" si="10"/>
        <v>57779.238095238092</v>
      </c>
      <c r="F219" s="471">
        <f t="shared" si="6"/>
        <v>866688.57142857229</v>
      </c>
      <c r="G219" s="950">
        <f t="shared" si="7"/>
        <v>156453.61611411785</v>
      </c>
      <c r="H219" s="953">
        <f t="shared" si="8"/>
        <v>156453.61611411785</v>
      </c>
      <c r="I219" s="512">
        <f t="shared" si="9"/>
        <v>0</v>
      </c>
      <c r="J219" s="512"/>
      <c r="K219" s="649"/>
      <c r="L219" s="518"/>
      <c r="M219" s="649"/>
      <c r="N219" s="518"/>
      <c r="O219" s="518"/>
      <c r="P219" s="473"/>
    </row>
    <row r="220" spans="3:16">
      <c r="C220" s="508">
        <f>IF(D186="","-",+C219+1)</f>
        <v>2039</v>
      </c>
      <c r="D220" s="471">
        <f t="shared" si="11"/>
        <v>866688.57142857229</v>
      </c>
      <c r="E220" s="515">
        <f t="shared" si="10"/>
        <v>57779.238095238092</v>
      </c>
      <c r="F220" s="471">
        <f t="shared" si="6"/>
        <v>808909.33333333419</v>
      </c>
      <c r="G220" s="959">
        <f t="shared" si="7"/>
        <v>150087.52720967398</v>
      </c>
      <c r="H220" s="953">
        <f t="shared" si="8"/>
        <v>150087.52720967398</v>
      </c>
      <c r="I220" s="512">
        <f t="shared" si="9"/>
        <v>0</v>
      </c>
      <c r="J220" s="512"/>
      <c r="K220" s="649"/>
      <c r="L220" s="518"/>
      <c r="M220" s="649"/>
      <c r="N220" s="518"/>
      <c r="O220" s="518"/>
      <c r="P220" s="473"/>
    </row>
    <row r="221" spans="3:16">
      <c r="C221" s="508">
        <f>IF(D186="","-",+C220+1)</f>
        <v>2040</v>
      </c>
      <c r="D221" s="471">
        <f t="shared" si="11"/>
        <v>808909.33333333419</v>
      </c>
      <c r="E221" s="515">
        <f t="shared" si="10"/>
        <v>57779.238095238092</v>
      </c>
      <c r="F221" s="471">
        <f t="shared" si="6"/>
        <v>751130.09523809608</v>
      </c>
      <c r="G221" s="950">
        <f t="shared" si="7"/>
        <v>143721.43830523011</v>
      </c>
      <c r="H221" s="953">
        <f t="shared" si="8"/>
        <v>143721.43830523011</v>
      </c>
      <c r="I221" s="512">
        <f t="shared" si="9"/>
        <v>0</v>
      </c>
      <c r="J221" s="512"/>
      <c r="K221" s="649"/>
      <c r="L221" s="518"/>
      <c r="M221" s="649"/>
      <c r="N221" s="518"/>
      <c r="O221" s="518"/>
      <c r="P221" s="473"/>
    </row>
    <row r="222" spans="3:16">
      <c r="C222" s="508">
        <f>IF(D186="","-",+C221+1)</f>
        <v>2041</v>
      </c>
      <c r="D222" s="471">
        <f t="shared" si="11"/>
        <v>751130.09523809608</v>
      </c>
      <c r="E222" s="515">
        <f t="shared" si="10"/>
        <v>57779.238095238092</v>
      </c>
      <c r="F222" s="471">
        <f t="shared" si="6"/>
        <v>693350.85714285797</v>
      </c>
      <c r="G222" s="950">
        <f t="shared" si="7"/>
        <v>137355.34940078628</v>
      </c>
      <c r="H222" s="953">
        <f t="shared" si="8"/>
        <v>137355.34940078628</v>
      </c>
      <c r="I222" s="512">
        <f t="shared" si="9"/>
        <v>0</v>
      </c>
      <c r="J222" s="512"/>
      <c r="K222" s="649"/>
      <c r="L222" s="518"/>
      <c r="M222" s="649"/>
      <c r="N222" s="518"/>
      <c r="O222" s="518"/>
      <c r="P222" s="473"/>
    </row>
    <row r="223" spans="3:16">
      <c r="C223" s="508">
        <f>IF(D186="","-",+C222+1)</f>
        <v>2042</v>
      </c>
      <c r="D223" s="471">
        <f t="shared" si="11"/>
        <v>693350.85714285797</v>
      </c>
      <c r="E223" s="515">
        <f t="shared" si="10"/>
        <v>57779.238095238092</v>
      </c>
      <c r="F223" s="471">
        <f t="shared" si="6"/>
        <v>635571.61904761987</v>
      </c>
      <c r="G223" s="950">
        <f t="shared" si="7"/>
        <v>130989.26049634244</v>
      </c>
      <c r="H223" s="953">
        <f t="shared" si="8"/>
        <v>130989.26049634244</v>
      </c>
      <c r="I223" s="512">
        <f t="shared" si="9"/>
        <v>0</v>
      </c>
      <c r="J223" s="512"/>
      <c r="K223" s="649"/>
      <c r="L223" s="518"/>
      <c r="M223" s="649"/>
      <c r="N223" s="518"/>
      <c r="O223" s="518"/>
      <c r="P223" s="473"/>
    </row>
    <row r="224" spans="3:16">
      <c r="C224" s="508">
        <f>IF(D186="","-",+C223+1)</f>
        <v>2043</v>
      </c>
      <c r="D224" s="471">
        <f t="shared" si="11"/>
        <v>635571.61904761987</v>
      </c>
      <c r="E224" s="515">
        <f t="shared" si="10"/>
        <v>57779.238095238092</v>
      </c>
      <c r="F224" s="471">
        <f t="shared" si="6"/>
        <v>577792.38095238176</v>
      </c>
      <c r="G224" s="950">
        <f t="shared" si="7"/>
        <v>124623.17159189859</v>
      </c>
      <c r="H224" s="953">
        <f t="shared" si="8"/>
        <v>124623.17159189859</v>
      </c>
      <c r="I224" s="512">
        <f t="shared" si="9"/>
        <v>0</v>
      </c>
      <c r="J224" s="512"/>
      <c r="K224" s="649"/>
      <c r="L224" s="518"/>
      <c r="M224" s="649"/>
      <c r="N224" s="518"/>
      <c r="O224" s="518"/>
      <c r="P224" s="473"/>
    </row>
    <row r="225" spans="3:16">
      <c r="C225" s="508">
        <f>IF(D186="","-",+C224+1)</f>
        <v>2044</v>
      </c>
      <c r="D225" s="471">
        <f t="shared" si="11"/>
        <v>577792.38095238176</v>
      </c>
      <c r="E225" s="515">
        <f t="shared" si="10"/>
        <v>57779.238095238092</v>
      </c>
      <c r="F225" s="471">
        <f t="shared" si="6"/>
        <v>520013.14285714366</v>
      </c>
      <c r="G225" s="950">
        <f t="shared" si="7"/>
        <v>118257.08268745473</v>
      </c>
      <c r="H225" s="953">
        <f t="shared" si="8"/>
        <v>118257.08268745473</v>
      </c>
      <c r="I225" s="512">
        <f t="shared" si="9"/>
        <v>0</v>
      </c>
      <c r="J225" s="512"/>
      <c r="K225" s="649"/>
      <c r="L225" s="518"/>
      <c r="M225" s="649"/>
      <c r="N225" s="518"/>
      <c r="O225" s="518"/>
      <c r="P225" s="473"/>
    </row>
    <row r="226" spans="3:16">
      <c r="C226" s="508">
        <f>IF(D186="","-",+C225+1)</f>
        <v>2045</v>
      </c>
      <c r="D226" s="471">
        <f t="shared" si="11"/>
        <v>520013.14285714366</v>
      </c>
      <c r="E226" s="515">
        <f t="shared" si="10"/>
        <v>57779.238095238092</v>
      </c>
      <c r="F226" s="471">
        <f t="shared" si="6"/>
        <v>462233.90476190555</v>
      </c>
      <c r="G226" s="950">
        <f t="shared" si="7"/>
        <v>111890.9937830109</v>
      </c>
      <c r="H226" s="953">
        <f t="shared" si="8"/>
        <v>111890.9937830109</v>
      </c>
      <c r="I226" s="512">
        <f t="shared" si="9"/>
        <v>0</v>
      </c>
      <c r="J226" s="512"/>
      <c r="K226" s="649"/>
      <c r="L226" s="518"/>
      <c r="M226" s="649"/>
      <c r="N226" s="518"/>
      <c r="O226" s="518"/>
      <c r="P226" s="473"/>
    </row>
    <row r="227" spans="3:16">
      <c r="C227" s="508">
        <f>IF(D186="","-",+C226+1)</f>
        <v>2046</v>
      </c>
      <c r="D227" s="471">
        <f t="shared" si="11"/>
        <v>462233.90476190555</v>
      </c>
      <c r="E227" s="515">
        <f t="shared" si="10"/>
        <v>57779.238095238092</v>
      </c>
      <c r="F227" s="471">
        <f t="shared" si="6"/>
        <v>404454.66666666744</v>
      </c>
      <c r="G227" s="950">
        <f t="shared" si="7"/>
        <v>105524.90487856703</v>
      </c>
      <c r="H227" s="953">
        <f t="shared" si="8"/>
        <v>105524.90487856703</v>
      </c>
      <c r="I227" s="512">
        <f t="shared" si="9"/>
        <v>0</v>
      </c>
      <c r="J227" s="512"/>
      <c r="K227" s="649"/>
      <c r="L227" s="518"/>
      <c r="M227" s="649"/>
      <c r="N227" s="518"/>
      <c r="O227" s="518"/>
      <c r="P227" s="473"/>
    </row>
    <row r="228" spans="3:16">
      <c r="C228" s="508">
        <f>IF(D186="","-",+C227+1)</f>
        <v>2047</v>
      </c>
      <c r="D228" s="471">
        <f t="shared" si="11"/>
        <v>404454.66666666744</v>
      </c>
      <c r="E228" s="515">
        <f t="shared" si="10"/>
        <v>57779.238095238092</v>
      </c>
      <c r="F228" s="471">
        <f t="shared" si="6"/>
        <v>346675.42857142934</v>
      </c>
      <c r="G228" s="950">
        <f t="shared" si="7"/>
        <v>99158.815974123194</v>
      </c>
      <c r="H228" s="953">
        <f t="shared" si="8"/>
        <v>99158.815974123194</v>
      </c>
      <c r="I228" s="512">
        <f t="shared" si="9"/>
        <v>0</v>
      </c>
      <c r="J228" s="512"/>
      <c r="K228" s="649"/>
      <c r="L228" s="518"/>
      <c r="M228" s="649"/>
      <c r="N228" s="518"/>
      <c r="O228" s="518"/>
      <c r="P228" s="473"/>
    </row>
    <row r="229" spans="3:16">
      <c r="C229" s="508">
        <f>IF(D186="","-",+C228+1)</f>
        <v>2048</v>
      </c>
      <c r="D229" s="471">
        <f t="shared" si="11"/>
        <v>346675.42857142934</v>
      </c>
      <c r="E229" s="515">
        <f t="shared" si="10"/>
        <v>57779.238095238092</v>
      </c>
      <c r="F229" s="471">
        <f t="shared" si="6"/>
        <v>288896.19047619123</v>
      </c>
      <c r="G229" s="950">
        <f t="shared" si="7"/>
        <v>92792.727069679342</v>
      </c>
      <c r="H229" s="953">
        <f t="shared" si="8"/>
        <v>92792.727069679342</v>
      </c>
      <c r="I229" s="512">
        <f t="shared" si="9"/>
        <v>0</v>
      </c>
      <c r="J229" s="512"/>
      <c r="K229" s="649"/>
      <c r="L229" s="518"/>
      <c r="M229" s="649"/>
      <c r="N229" s="518"/>
      <c r="O229" s="518"/>
      <c r="P229" s="473"/>
    </row>
    <row r="230" spans="3:16">
      <c r="C230" s="508">
        <f>IF(D186="","-",+C229+1)</f>
        <v>2049</v>
      </c>
      <c r="D230" s="471">
        <f t="shared" si="11"/>
        <v>288896.19047619123</v>
      </c>
      <c r="E230" s="515">
        <f t="shared" si="10"/>
        <v>57779.238095238092</v>
      </c>
      <c r="F230" s="471">
        <f t="shared" si="6"/>
        <v>231116.95238095312</v>
      </c>
      <c r="G230" s="950">
        <f t="shared" si="7"/>
        <v>86426.63816523549</v>
      </c>
      <c r="H230" s="953">
        <f t="shared" si="8"/>
        <v>86426.63816523549</v>
      </c>
      <c r="I230" s="512">
        <f t="shared" si="9"/>
        <v>0</v>
      </c>
      <c r="J230" s="512"/>
      <c r="K230" s="649"/>
      <c r="L230" s="518"/>
      <c r="M230" s="649"/>
      <c r="N230" s="518"/>
      <c r="O230" s="518"/>
      <c r="P230" s="473"/>
    </row>
    <row r="231" spans="3:16">
      <c r="C231" s="508">
        <f>IF(D186="","-",+C230+1)</f>
        <v>2050</v>
      </c>
      <c r="D231" s="471">
        <f t="shared" si="11"/>
        <v>231116.95238095312</v>
      </c>
      <c r="E231" s="515">
        <f t="shared" si="10"/>
        <v>57779.238095238092</v>
      </c>
      <c r="F231" s="471">
        <f t="shared" si="6"/>
        <v>173337.71428571502</v>
      </c>
      <c r="G231" s="950">
        <f t="shared" si="7"/>
        <v>80060.549260791639</v>
      </c>
      <c r="H231" s="953">
        <f t="shared" si="8"/>
        <v>80060.549260791639</v>
      </c>
      <c r="I231" s="512">
        <f t="shared" si="9"/>
        <v>0</v>
      </c>
      <c r="J231" s="512"/>
      <c r="K231" s="649"/>
      <c r="L231" s="518"/>
      <c r="M231" s="649"/>
      <c r="N231" s="518"/>
      <c r="O231" s="518"/>
      <c r="P231" s="473"/>
    </row>
    <row r="232" spans="3:16">
      <c r="C232" s="508">
        <f>IF(D186="","-",+C231+1)</f>
        <v>2051</v>
      </c>
      <c r="D232" s="471">
        <f t="shared" si="11"/>
        <v>173337.71428571502</v>
      </c>
      <c r="E232" s="515">
        <f t="shared" si="10"/>
        <v>57779.238095238092</v>
      </c>
      <c r="F232" s="471">
        <f t="shared" si="6"/>
        <v>115558.47619047693</v>
      </c>
      <c r="G232" s="950">
        <f t="shared" si="7"/>
        <v>73694.460356347787</v>
      </c>
      <c r="H232" s="953">
        <f t="shared" si="8"/>
        <v>73694.460356347787</v>
      </c>
      <c r="I232" s="512">
        <f t="shared" si="9"/>
        <v>0</v>
      </c>
      <c r="J232" s="512"/>
      <c r="K232" s="649"/>
      <c r="L232" s="518"/>
      <c r="M232" s="649"/>
      <c r="N232" s="518"/>
      <c r="O232" s="518"/>
      <c r="P232" s="473"/>
    </row>
    <row r="233" spans="3:16">
      <c r="C233" s="508">
        <f>IF(D186="","-",+C232+1)</f>
        <v>2052</v>
      </c>
      <c r="D233" s="471">
        <f t="shared" si="11"/>
        <v>115558.47619047693</v>
      </c>
      <c r="E233" s="515">
        <f t="shared" si="10"/>
        <v>57779.238095238092</v>
      </c>
      <c r="F233" s="471">
        <f t="shared" si="6"/>
        <v>57779.238095238834</v>
      </c>
      <c r="G233" s="950">
        <f t="shared" si="7"/>
        <v>67328.371451903949</v>
      </c>
      <c r="H233" s="953">
        <f t="shared" si="8"/>
        <v>67328.371451903949</v>
      </c>
      <c r="I233" s="512">
        <f t="shared" si="9"/>
        <v>0</v>
      </c>
      <c r="J233" s="512"/>
      <c r="K233" s="649"/>
      <c r="L233" s="518"/>
      <c r="M233" s="649"/>
      <c r="N233" s="518"/>
      <c r="O233" s="518"/>
      <c r="P233" s="473"/>
    </row>
    <row r="234" spans="3:16">
      <c r="C234" s="508">
        <f>IF(D186="","-",+C233+1)</f>
        <v>2053</v>
      </c>
      <c r="D234" s="471">
        <f t="shared" si="11"/>
        <v>57779.238095238834</v>
      </c>
      <c r="E234" s="515">
        <f t="shared" si="10"/>
        <v>57779.238095238092</v>
      </c>
      <c r="F234" s="471">
        <f t="shared" si="6"/>
        <v>7.4214767664670944E-10</v>
      </c>
      <c r="G234" s="950">
        <f t="shared" si="7"/>
        <v>60962.282547460098</v>
      </c>
      <c r="H234" s="953">
        <f t="shared" si="8"/>
        <v>60962.282547460098</v>
      </c>
      <c r="I234" s="512">
        <f t="shared" si="9"/>
        <v>0</v>
      </c>
      <c r="J234" s="512"/>
      <c r="K234" s="649"/>
      <c r="L234" s="518"/>
      <c r="M234" s="649"/>
      <c r="N234" s="518"/>
      <c r="O234" s="518"/>
      <c r="P234" s="473"/>
    </row>
    <row r="235" spans="3:16">
      <c r="C235" s="508">
        <f>IF(D186="","-",+C234+1)</f>
        <v>2054</v>
      </c>
      <c r="D235" s="471">
        <f t="shared" si="11"/>
        <v>7.4214767664670944E-10</v>
      </c>
      <c r="E235" s="515">
        <f t="shared" si="10"/>
        <v>7.4214767664670944E-10</v>
      </c>
      <c r="F235" s="471">
        <f t="shared" si="6"/>
        <v>0</v>
      </c>
      <c r="G235" s="950">
        <f t="shared" si="7"/>
        <v>7.8303241522678412E-10</v>
      </c>
      <c r="H235" s="953">
        <f t="shared" si="8"/>
        <v>7.8303241522678412E-10</v>
      </c>
      <c r="I235" s="512">
        <f t="shared" si="9"/>
        <v>0</v>
      </c>
      <c r="J235" s="512"/>
      <c r="K235" s="649"/>
      <c r="L235" s="518"/>
      <c r="M235" s="649"/>
      <c r="N235" s="518"/>
      <c r="O235" s="518"/>
      <c r="P235" s="473"/>
    </row>
    <row r="236" spans="3:16">
      <c r="C236" s="508">
        <f>IF(D186="","-",+C235+1)</f>
        <v>2055</v>
      </c>
      <c r="D236" s="471">
        <f t="shared" si="11"/>
        <v>0</v>
      </c>
      <c r="E236" s="515">
        <f t="shared" si="10"/>
        <v>0</v>
      </c>
      <c r="F236" s="471">
        <f t="shared" si="6"/>
        <v>0</v>
      </c>
      <c r="G236" s="950">
        <f t="shared" si="7"/>
        <v>0</v>
      </c>
      <c r="H236" s="953">
        <f t="shared" si="8"/>
        <v>0</v>
      </c>
      <c r="I236" s="512">
        <f t="shared" si="9"/>
        <v>0</v>
      </c>
      <c r="J236" s="512"/>
      <c r="K236" s="649"/>
      <c r="L236" s="518"/>
      <c r="M236" s="649"/>
      <c r="N236" s="518"/>
      <c r="O236" s="518"/>
      <c r="P236" s="473"/>
    </row>
    <row r="237" spans="3:16">
      <c r="C237" s="508">
        <f>IF(D186="","-",+C236+1)</f>
        <v>2056</v>
      </c>
      <c r="D237" s="471">
        <f t="shared" si="11"/>
        <v>0</v>
      </c>
      <c r="E237" s="515">
        <f t="shared" si="10"/>
        <v>0</v>
      </c>
      <c r="F237" s="471">
        <f t="shared" si="6"/>
        <v>0</v>
      </c>
      <c r="G237" s="950">
        <f t="shared" si="7"/>
        <v>0</v>
      </c>
      <c r="H237" s="953">
        <f t="shared" si="8"/>
        <v>0</v>
      </c>
      <c r="I237" s="512">
        <f t="shared" si="9"/>
        <v>0</v>
      </c>
      <c r="J237" s="512"/>
      <c r="K237" s="649"/>
      <c r="L237" s="518"/>
      <c r="M237" s="649"/>
      <c r="N237" s="518"/>
      <c r="O237" s="518"/>
      <c r="P237" s="473"/>
    </row>
    <row r="238" spans="3:16">
      <c r="C238" s="508">
        <f>IF(D186="","-",+C237+1)</f>
        <v>2057</v>
      </c>
      <c r="D238" s="471">
        <f t="shared" si="11"/>
        <v>0</v>
      </c>
      <c r="E238" s="515">
        <f t="shared" si="10"/>
        <v>0</v>
      </c>
      <c r="F238" s="471">
        <f t="shared" si="6"/>
        <v>0</v>
      </c>
      <c r="G238" s="950">
        <f t="shared" si="7"/>
        <v>0</v>
      </c>
      <c r="H238" s="953">
        <f t="shared" si="8"/>
        <v>0</v>
      </c>
      <c r="I238" s="512">
        <f t="shared" si="9"/>
        <v>0</v>
      </c>
      <c r="J238" s="512"/>
      <c r="K238" s="649"/>
      <c r="L238" s="518"/>
      <c r="M238" s="649"/>
      <c r="N238" s="518"/>
      <c r="O238" s="518"/>
      <c r="P238" s="473"/>
    </row>
    <row r="239" spans="3:16">
      <c r="C239" s="508">
        <f>IF(D186="","-",+C238+1)</f>
        <v>2058</v>
      </c>
      <c r="D239" s="471">
        <f t="shared" si="11"/>
        <v>0</v>
      </c>
      <c r="E239" s="515">
        <f t="shared" si="10"/>
        <v>0</v>
      </c>
      <c r="F239" s="471">
        <f t="shared" si="6"/>
        <v>0</v>
      </c>
      <c r="G239" s="950">
        <f t="shared" si="7"/>
        <v>0</v>
      </c>
      <c r="H239" s="953">
        <f t="shared" si="8"/>
        <v>0</v>
      </c>
      <c r="I239" s="512">
        <f t="shared" si="9"/>
        <v>0</v>
      </c>
      <c r="J239" s="512"/>
      <c r="K239" s="649"/>
      <c r="L239" s="518"/>
      <c r="M239" s="649"/>
      <c r="N239" s="518"/>
      <c r="O239" s="518"/>
      <c r="P239" s="473"/>
    </row>
    <row r="240" spans="3:16">
      <c r="C240" s="508">
        <f>IF(D186="","-",+C239+1)</f>
        <v>2059</v>
      </c>
      <c r="D240" s="471">
        <f t="shared" si="11"/>
        <v>0</v>
      </c>
      <c r="E240" s="515">
        <f t="shared" si="10"/>
        <v>0</v>
      </c>
      <c r="F240" s="471">
        <f t="shared" si="6"/>
        <v>0</v>
      </c>
      <c r="G240" s="950">
        <f t="shared" si="7"/>
        <v>0</v>
      </c>
      <c r="H240" s="953">
        <f t="shared" si="8"/>
        <v>0</v>
      </c>
      <c r="I240" s="512">
        <f t="shared" si="9"/>
        <v>0</v>
      </c>
      <c r="J240" s="512"/>
      <c r="K240" s="649"/>
      <c r="L240" s="518"/>
      <c r="M240" s="649"/>
      <c r="N240" s="518"/>
      <c r="O240" s="518"/>
      <c r="P240" s="473"/>
    </row>
    <row r="241" spans="3:16">
      <c r="C241" s="508">
        <f>IF(D186="","-",+C240+1)</f>
        <v>2060</v>
      </c>
      <c r="D241" s="471">
        <f t="shared" si="11"/>
        <v>0</v>
      </c>
      <c r="E241" s="515">
        <f t="shared" si="10"/>
        <v>0</v>
      </c>
      <c r="F241" s="471">
        <f t="shared" si="6"/>
        <v>0</v>
      </c>
      <c r="G241" s="950">
        <f t="shared" si="7"/>
        <v>0</v>
      </c>
      <c r="H241" s="953">
        <f t="shared" si="8"/>
        <v>0</v>
      </c>
      <c r="I241" s="512">
        <f t="shared" si="9"/>
        <v>0</v>
      </c>
      <c r="J241" s="512"/>
      <c r="K241" s="649"/>
      <c r="L241" s="518"/>
      <c r="M241" s="649"/>
      <c r="N241" s="518"/>
      <c r="O241" s="518"/>
      <c r="P241" s="473"/>
    </row>
    <row r="242" spans="3:16">
      <c r="C242" s="508">
        <f>IF(D186="","-",+C241+1)</f>
        <v>2061</v>
      </c>
      <c r="D242" s="471">
        <f t="shared" si="11"/>
        <v>0</v>
      </c>
      <c r="E242" s="515">
        <f t="shared" si="10"/>
        <v>0</v>
      </c>
      <c r="F242" s="471">
        <f t="shared" si="6"/>
        <v>0</v>
      </c>
      <c r="G242" s="950">
        <f t="shared" si="7"/>
        <v>0</v>
      </c>
      <c r="H242" s="953">
        <f t="shared" si="8"/>
        <v>0</v>
      </c>
      <c r="I242" s="512">
        <f t="shared" si="9"/>
        <v>0</v>
      </c>
      <c r="J242" s="512"/>
      <c r="K242" s="649"/>
      <c r="L242" s="518"/>
      <c r="M242" s="649"/>
      <c r="N242" s="518"/>
      <c r="O242" s="518"/>
      <c r="P242" s="473"/>
    </row>
    <row r="243" spans="3:16">
      <c r="C243" s="508">
        <f>IF(D186="","-",+C242+1)</f>
        <v>2062</v>
      </c>
      <c r="D243" s="471">
        <f t="shared" si="11"/>
        <v>0</v>
      </c>
      <c r="E243" s="515">
        <f t="shared" si="10"/>
        <v>0</v>
      </c>
      <c r="F243" s="471">
        <f t="shared" si="6"/>
        <v>0</v>
      </c>
      <c r="G243" s="950">
        <f t="shared" si="7"/>
        <v>0</v>
      </c>
      <c r="H243" s="953">
        <f t="shared" si="8"/>
        <v>0</v>
      </c>
      <c r="I243" s="512">
        <f t="shared" si="9"/>
        <v>0</v>
      </c>
      <c r="J243" s="512"/>
      <c r="K243" s="649"/>
      <c r="L243" s="518"/>
      <c r="M243" s="649"/>
      <c r="N243" s="518"/>
      <c r="O243" s="518"/>
      <c r="P243" s="473"/>
    </row>
    <row r="244" spans="3:16">
      <c r="C244" s="508">
        <f>IF(D186="","-",+C243+1)</f>
        <v>2063</v>
      </c>
      <c r="D244" s="471">
        <f t="shared" si="11"/>
        <v>0</v>
      </c>
      <c r="E244" s="515">
        <f t="shared" si="10"/>
        <v>0</v>
      </c>
      <c r="F244" s="471">
        <f t="shared" si="6"/>
        <v>0</v>
      </c>
      <c r="G244" s="950">
        <f t="shared" si="7"/>
        <v>0</v>
      </c>
      <c r="H244" s="953">
        <f t="shared" si="8"/>
        <v>0</v>
      </c>
      <c r="I244" s="512">
        <f t="shared" si="9"/>
        <v>0</v>
      </c>
      <c r="J244" s="512"/>
      <c r="K244" s="649"/>
      <c r="L244" s="518"/>
      <c r="M244" s="649"/>
      <c r="N244" s="518"/>
      <c r="O244" s="518"/>
      <c r="P244" s="473"/>
    </row>
    <row r="245" spans="3:16">
      <c r="C245" s="508">
        <f>IF(D186="","-",+C244+1)</f>
        <v>2064</v>
      </c>
      <c r="D245" s="471">
        <f t="shared" si="11"/>
        <v>0</v>
      </c>
      <c r="E245" s="515">
        <f t="shared" si="10"/>
        <v>0</v>
      </c>
      <c r="F245" s="471">
        <f t="shared" si="6"/>
        <v>0</v>
      </c>
      <c r="G245" s="950">
        <f t="shared" si="7"/>
        <v>0</v>
      </c>
      <c r="H245" s="953">
        <f t="shared" si="8"/>
        <v>0</v>
      </c>
      <c r="I245" s="512">
        <f t="shared" si="9"/>
        <v>0</v>
      </c>
      <c r="J245" s="512"/>
      <c r="K245" s="649"/>
      <c r="L245" s="518"/>
      <c r="M245" s="649"/>
      <c r="N245" s="518"/>
      <c r="O245" s="518"/>
      <c r="P245" s="473"/>
    </row>
    <row r="246" spans="3:16">
      <c r="C246" s="508">
        <f>IF(D186="","-",+C245+1)</f>
        <v>2065</v>
      </c>
      <c r="D246" s="471">
        <f t="shared" si="11"/>
        <v>0</v>
      </c>
      <c r="E246" s="515">
        <f t="shared" si="10"/>
        <v>0</v>
      </c>
      <c r="F246" s="471">
        <f t="shared" si="6"/>
        <v>0</v>
      </c>
      <c r="G246" s="950">
        <f t="shared" si="7"/>
        <v>0</v>
      </c>
      <c r="H246" s="953">
        <f t="shared" si="8"/>
        <v>0</v>
      </c>
      <c r="I246" s="512">
        <f t="shared" si="9"/>
        <v>0</v>
      </c>
      <c r="J246" s="512"/>
      <c r="K246" s="649"/>
      <c r="L246" s="518"/>
      <c r="M246" s="649"/>
      <c r="N246" s="518"/>
      <c r="O246" s="518"/>
      <c r="P246" s="473"/>
    </row>
    <row r="247" spans="3:16">
      <c r="C247" s="508">
        <f>IF(D186="","-",+C246+1)</f>
        <v>2066</v>
      </c>
      <c r="D247" s="471">
        <f t="shared" si="11"/>
        <v>0</v>
      </c>
      <c r="E247" s="515">
        <f t="shared" si="10"/>
        <v>0</v>
      </c>
      <c r="F247" s="471">
        <f t="shared" si="6"/>
        <v>0</v>
      </c>
      <c r="G247" s="950">
        <f t="shared" si="7"/>
        <v>0</v>
      </c>
      <c r="H247" s="953">
        <f t="shared" si="8"/>
        <v>0</v>
      </c>
      <c r="I247" s="512">
        <f t="shared" si="9"/>
        <v>0</v>
      </c>
      <c r="J247" s="512"/>
      <c r="K247" s="649"/>
      <c r="L247" s="518"/>
      <c r="M247" s="649"/>
      <c r="N247" s="518"/>
      <c r="O247" s="518"/>
      <c r="P247" s="473"/>
    </row>
    <row r="248" spans="3:16">
      <c r="C248" s="508">
        <f>IF(D186="","-",+C247+1)</f>
        <v>2067</v>
      </c>
      <c r="D248" s="471">
        <f t="shared" si="11"/>
        <v>0</v>
      </c>
      <c r="E248" s="515">
        <f t="shared" si="10"/>
        <v>0</v>
      </c>
      <c r="F248" s="471">
        <f t="shared" si="6"/>
        <v>0</v>
      </c>
      <c r="G248" s="950">
        <f t="shared" si="7"/>
        <v>0</v>
      </c>
      <c r="H248" s="953">
        <f t="shared" si="8"/>
        <v>0</v>
      </c>
      <c r="I248" s="512">
        <f t="shared" si="9"/>
        <v>0</v>
      </c>
      <c r="J248" s="512"/>
      <c r="K248" s="649"/>
      <c r="L248" s="518"/>
      <c r="M248" s="649"/>
      <c r="N248" s="518"/>
      <c r="O248" s="518"/>
      <c r="P248" s="473"/>
    </row>
    <row r="249" spans="3:16">
      <c r="C249" s="508">
        <f>IF(D186="","-",+C248+1)</f>
        <v>2068</v>
      </c>
      <c r="D249" s="471">
        <f t="shared" si="11"/>
        <v>0</v>
      </c>
      <c r="E249" s="515">
        <f t="shared" si="10"/>
        <v>0</v>
      </c>
      <c r="F249" s="471">
        <f t="shared" si="6"/>
        <v>0</v>
      </c>
      <c r="G249" s="950">
        <f t="shared" si="7"/>
        <v>0</v>
      </c>
      <c r="H249" s="953">
        <f t="shared" si="8"/>
        <v>0</v>
      </c>
      <c r="I249" s="512">
        <f t="shared" si="9"/>
        <v>0</v>
      </c>
      <c r="J249" s="512"/>
      <c r="K249" s="649"/>
      <c r="L249" s="518"/>
      <c r="M249" s="649"/>
      <c r="N249" s="518"/>
      <c r="O249" s="518"/>
      <c r="P249" s="473"/>
    </row>
    <row r="250" spans="3:16">
      <c r="C250" s="508">
        <f>IF(D186="","-",+C249+1)</f>
        <v>2069</v>
      </c>
      <c r="D250" s="471">
        <f t="shared" si="11"/>
        <v>0</v>
      </c>
      <c r="E250" s="515">
        <f t="shared" si="10"/>
        <v>0</v>
      </c>
      <c r="F250" s="471">
        <f t="shared" si="6"/>
        <v>0</v>
      </c>
      <c r="G250" s="950">
        <f t="shared" si="7"/>
        <v>0</v>
      </c>
      <c r="H250" s="953">
        <f t="shared" si="8"/>
        <v>0</v>
      </c>
      <c r="I250" s="512">
        <f t="shared" si="9"/>
        <v>0</v>
      </c>
      <c r="J250" s="512"/>
      <c r="K250" s="649"/>
      <c r="L250" s="518"/>
      <c r="M250" s="649"/>
      <c r="N250" s="518"/>
      <c r="O250" s="518"/>
      <c r="P250" s="473"/>
    </row>
    <row r="251" spans="3:16" ht="13.5" thickBot="1">
      <c r="C251" s="520">
        <f>IF(D186="","-",+C250+1)</f>
        <v>2070</v>
      </c>
      <c r="D251" s="521">
        <f t="shared" si="11"/>
        <v>0</v>
      </c>
      <c r="E251" s="522">
        <f t="shared" si="10"/>
        <v>0</v>
      </c>
      <c r="F251" s="521">
        <f t="shared" si="6"/>
        <v>0</v>
      </c>
      <c r="G251" s="960">
        <f t="shared" si="7"/>
        <v>0</v>
      </c>
      <c r="H251" s="960">
        <f t="shared" si="8"/>
        <v>0</v>
      </c>
      <c r="I251" s="524">
        <f t="shared" si="9"/>
        <v>0</v>
      </c>
      <c r="J251" s="512"/>
      <c r="K251" s="650"/>
      <c r="L251" s="526"/>
      <c r="M251" s="650"/>
      <c r="N251" s="526"/>
      <c r="O251" s="526"/>
      <c r="P251" s="473"/>
    </row>
    <row r="252" spans="3:16">
      <c r="C252" s="471" t="s">
        <v>288</v>
      </c>
      <c r="D252" s="931"/>
      <c r="E252" s="931">
        <f>SUM(E192:E251)</f>
        <v>2426728</v>
      </c>
      <c r="F252" s="931"/>
      <c r="G252" s="931">
        <f>SUM(G192:G251)</f>
        <v>8308994.1477061203</v>
      </c>
      <c r="H252" s="931">
        <f>SUM(H192:H251)</f>
        <v>8308994.1477061203</v>
      </c>
      <c r="I252" s="931">
        <f>SUM(I192:I251)</f>
        <v>0</v>
      </c>
      <c r="J252" s="931"/>
      <c r="K252" s="931"/>
      <c r="L252" s="931"/>
      <c r="M252" s="931"/>
      <c r="N252" s="931"/>
      <c r="O252" s="4"/>
      <c r="P252" s="931"/>
    </row>
    <row r="253" spans="3:16">
      <c r="D253" s="78"/>
      <c r="E253" s="4"/>
      <c r="F253" s="4"/>
      <c r="G253" s="4"/>
      <c r="H253" s="930"/>
      <c r="I253" s="930"/>
      <c r="J253" s="931"/>
      <c r="K253" s="930"/>
      <c r="L253" s="930"/>
      <c r="M253" s="930"/>
      <c r="N253" s="930"/>
      <c r="O253" s="4"/>
      <c r="P253" s="931"/>
    </row>
    <row r="254" spans="3:16">
      <c r="C254" s="4" t="s">
        <v>600</v>
      </c>
      <c r="D254" s="78"/>
      <c r="E254" s="4"/>
      <c r="F254" s="4"/>
      <c r="G254" s="4"/>
      <c r="H254" s="930"/>
      <c r="I254" s="930"/>
      <c r="J254" s="931"/>
      <c r="K254" s="930"/>
      <c r="L254" s="930"/>
      <c r="M254" s="930"/>
      <c r="N254" s="930"/>
      <c r="O254" s="4"/>
      <c r="P254" s="931"/>
    </row>
    <row r="255" spans="3:16">
      <c r="D255" s="78"/>
      <c r="E255" s="4"/>
      <c r="F255" s="4"/>
      <c r="G255" s="4"/>
      <c r="H255" s="930"/>
      <c r="I255" s="930"/>
      <c r="J255" s="931"/>
      <c r="K255" s="930"/>
      <c r="L255" s="930"/>
      <c r="M255" s="930"/>
      <c r="N255" s="930"/>
      <c r="O255" s="4"/>
      <c r="P255" s="931"/>
    </row>
    <row r="256" spans="3:16">
      <c r="C256" s="4" t="s">
        <v>601</v>
      </c>
      <c r="D256" s="471"/>
      <c r="E256" s="471"/>
      <c r="F256" s="471"/>
      <c r="G256" s="931"/>
      <c r="H256" s="931"/>
      <c r="I256" s="473"/>
      <c r="J256" s="473"/>
      <c r="K256" s="473"/>
      <c r="L256" s="473"/>
      <c r="M256" s="473"/>
      <c r="N256" s="473"/>
      <c r="O256" s="4"/>
      <c r="P256" s="473"/>
    </row>
    <row r="257" spans="1:16">
      <c r="C257" s="4" t="s">
        <v>476</v>
      </c>
      <c r="D257" s="471"/>
      <c r="E257" s="471"/>
      <c r="F257" s="471"/>
      <c r="G257" s="931"/>
      <c r="H257" s="931"/>
      <c r="I257" s="473"/>
      <c r="J257" s="473"/>
      <c r="K257" s="473"/>
      <c r="L257" s="473"/>
      <c r="M257" s="473"/>
      <c r="N257" s="473"/>
      <c r="O257" s="4"/>
      <c r="P257" s="473"/>
    </row>
    <row r="258" spans="1:16">
      <c r="C258" s="4" t="s">
        <v>289</v>
      </c>
      <c r="D258" s="471"/>
      <c r="E258" s="471"/>
      <c r="F258" s="471"/>
      <c r="G258" s="931"/>
      <c r="H258" s="931"/>
      <c r="I258" s="473"/>
      <c r="J258" s="473"/>
      <c r="K258" s="473"/>
      <c r="L258" s="473"/>
      <c r="M258" s="473"/>
      <c r="N258" s="473"/>
      <c r="O258" s="4"/>
      <c r="P258" s="473"/>
    </row>
    <row r="259" spans="1:16">
      <c r="C259" s="472"/>
      <c r="D259" s="471"/>
      <c r="E259" s="471"/>
      <c r="F259" s="471"/>
      <c r="G259" s="931"/>
      <c r="H259" s="931"/>
      <c r="I259" s="473"/>
      <c r="J259" s="473"/>
      <c r="K259" s="473"/>
      <c r="L259" s="473"/>
      <c r="M259" s="473"/>
      <c r="N259" s="473"/>
      <c r="O259" s="4"/>
      <c r="P259" s="473"/>
    </row>
    <row r="260" spans="1:16">
      <c r="C260" s="1303" t="s">
        <v>460</v>
      </c>
      <c r="D260" s="1303"/>
      <c r="E260" s="1303"/>
      <c r="F260" s="1303"/>
      <c r="G260" s="1303"/>
      <c r="H260" s="1303"/>
      <c r="I260" s="1303"/>
      <c r="J260" s="1303"/>
      <c r="K260" s="1303"/>
      <c r="L260" s="1303"/>
      <c r="M260" s="1303"/>
      <c r="N260" s="1303"/>
      <c r="O260" s="1303"/>
    </row>
    <row r="261" spans="1:16">
      <c r="C261" s="1303"/>
      <c r="D261" s="1303"/>
      <c r="E261" s="1303"/>
      <c r="F261" s="1303"/>
      <c r="G261" s="1303"/>
      <c r="H261" s="1303"/>
      <c r="I261" s="1303"/>
      <c r="J261" s="1303"/>
      <c r="K261" s="1303"/>
      <c r="L261" s="1303"/>
      <c r="M261" s="1303"/>
      <c r="N261" s="1303"/>
      <c r="O261" s="1303"/>
    </row>
    <row r="262" spans="1:16" ht="20.25">
      <c r="A262" s="413" t="s">
        <v>927</v>
      </c>
      <c r="B262" s="4"/>
      <c r="C262" s="4"/>
      <c r="D262" s="78"/>
      <c r="E262" s="4"/>
      <c r="F262" s="80"/>
      <c r="G262" s="4"/>
      <c r="H262" s="930"/>
      <c r="K262" s="11"/>
      <c r="L262" s="11"/>
      <c r="M262" s="11"/>
      <c r="N262" s="11" t="str">
        <f>"Page "&amp;SUM(P$6:P262)&amp;" of "</f>
        <v xml:space="preserve">Page 4 of </v>
      </c>
      <c r="O262" s="414">
        <f>COUNT(P$6:P$59606)</f>
        <v>14</v>
      </c>
      <c r="P262" s="4">
        <v>1</v>
      </c>
    </row>
    <row r="263" spans="1:16">
      <c r="B263" s="4"/>
      <c r="C263" s="4"/>
      <c r="D263" s="78"/>
      <c r="E263" s="4"/>
      <c r="F263" s="4"/>
      <c r="G263" s="4"/>
      <c r="H263" s="930"/>
      <c r="I263" s="4"/>
      <c r="J263" s="4"/>
      <c r="K263" s="4"/>
      <c r="L263" s="4"/>
      <c r="M263" s="4"/>
      <c r="N263" s="4"/>
      <c r="O263" s="4"/>
    </row>
    <row r="264" spans="1:16" ht="18">
      <c r="B264" s="415" t="s">
        <v>174</v>
      </c>
      <c r="C264" s="474" t="s">
        <v>290</v>
      </c>
      <c r="D264" s="78"/>
      <c r="E264" s="4"/>
      <c r="F264" s="4"/>
      <c r="G264" s="4"/>
      <c r="H264" s="930"/>
      <c r="I264" s="930"/>
      <c r="J264" s="931"/>
      <c r="K264" s="930"/>
      <c r="L264" s="930"/>
      <c r="M264" s="930"/>
      <c r="N264" s="930"/>
      <c r="O264" s="4"/>
    </row>
    <row r="265" spans="1:16" ht="18.75">
      <c r="B265" s="415"/>
      <c r="C265" s="13"/>
      <c r="D265" s="78"/>
      <c r="E265" s="4"/>
      <c r="F265" s="4"/>
      <c r="G265" s="4"/>
      <c r="H265" s="930"/>
      <c r="I265" s="930"/>
      <c r="J265" s="931"/>
      <c r="K265" s="930"/>
      <c r="L265" s="930"/>
      <c r="M265" s="930"/>
      <c r="N265" s="930"/>
      <c r="O265" s="4"/>
    </row>
    <row r="266" spans="1:16" ht="18.75">
      <c r="B266" s="415"/>
      <c r="C266" s="13" t="s">
        <v>291</v>
      </c>
      <c r="D266" s="78"/>
      <c r="E266" s="4"/>
      <c r="F266" s="4"/>
      <c r="G266" s="4"/>
      <c r="H266" s="930"/>
      <c r="I266" s="930"/>
      <c r="J266" s="931"/>
      <c r="K266" s="930"/>
      <c r="L266" s="930"/>
      <c r="M266" s="930"/>
      <c r="N266" s="930"/>
      <c r="O266" s="4"/>
    </row>
    <row r="267" spans="1:16" ht="15.75" thickBot="1">
      <c r="C267" s="250"/>
      <c r="D267" s="78"/>
      <c r="E267" s="4"/>
      <c r="F267" s="4"/>
      <c r="G267" s="4"/>
      <c r="H267" s="930"/>
      <c r="I267" s="930"/>
      <c r="J267" s="931"/>
      <c r="K267" s="930"/>
      <c r="L267" s="930"/>
      <c r="M267" s="930"/>
      <c r="N267" s="930"/>
      <c r="O267" s="4"/>
    </row>
    <row r="268" spans="1:16" ht="15.75">
      <c r="C268" s="416" t="s">
        <v>292</v>
      </c>
      <c r="D268" s="78"/>
      <c r="E268" s="4"/>
      <c r="F268" s="4"/>
      <c r="G268" s="932"/>
      <c r="H268" s="4" t="s">
        <v>271</v>
      </c>
      <c r="I268" s="4"/>
      <c r="J268" s="4"/>
      <c r="K268" s="475" t="s">
        <v>296</v>
      </c>
      <c r="L268" s="476"/>
      <c r="M268" s="477"/>
      <c r="N268" s="933">
        <f>VLOOKUP(I274,C281:O340,5)</f>
        <v>1968827.6904444741</v>
      </c>
      <c r="O268" s="4"/>
    </row>
    <row r="269" spans="1:16" ht="15.75">
      <c r="C269" s="416"/>
      <c r="D269" s="78"/>
      <c r="E269" s="4"/>
      <c r="F269" s="4"/>
      <c r="G269" s="4"/>
      <c r="H269" s="934"/>
      <c r="I269" s="934"/>
      <c r="J269" s="935"/>
      <c r="K269" s="480" t="s">
        <v>297</v>
      </c>
      <c r="L269" s="936"/>
      <c r="M269" s="4"/>
      <c r="N269" s="937">
        <f>VLOOKUP(I274,C281:O340,6)</f>
        <v>1968827.6904444741</v>
      </c>
      <c r="O269" s="4"/>
    </row>
    <row r="270" spans="1:16" ht="13.5" thickBot="1">
      <c r="C270" s="481" t="s">
        <v>293</v>
      </c>
      <c r="D270" s="1304" t="s">
        <v>931</v>
      </c>
      <c r="E270" s="1304"/>
      <c r="F270" s="1304"/>
      <c r="G270" s="1304"/>
      <c r="H270" s="930"/>
      <c r="I270" s="930"/>
      <c r="J270" s="931"/>
      <c r="K270" s="938" t="s">
        <v>450</v>
      </c>
      <c r="L270" s="939"/>
      <c r="M270" s="939"/>
      <c r="N270" s="940">
        <f>+N269-N268</f>
        <v>0</v>
      </c>
      <c r="O270" s="4"/>
    </row>
    <row r="271" spans="1:16">
      <c r="C271" s="483"/>
      <c r="D271" s="484"/>
      <c r="E271" s="471"/>
      <c r="F271" s="471"/>
      <c r="G271" s="485"/>
      <c r="H271" s="930"/>
      <c r="I271" s="930"/>
      <c r="J271" s="931"/>
      <c r="K271" s="930"/>
      <c r="L271" s="930"/>
      <c r="M271" s="930"/>
      <c r="N271" s="930"/>
      <c r="O271" s="4"/>
    </row>
    <row r="272" spans="1:16" ht="13.5" thickBot="1">
      <c r="C272" s="483"/>
      <c r="D272" s="4"/>
      <c r="E272" s="485"/>
      <c r="F272" s="485"/>
      <c r="G272" s="485"/>
      <c r="H272" s="485"/>
      <c r="I272" s="485"/>
      <c r="J272" s="485"/>
      <c r="K272" s="485"/>
      <c r="L272" s="485"/>
      <c r="M272" s="485"/>
      <c r="N272" s="485"/>
      <c r="O272" s="4"/>
    </row>
    <row r="273" spans="1:15" ht="13.5" thickBot="1">
      <c r="C273" s="487" t="s">
        <v>294</v>
      </c>
      <c r="D273" s="488"/>
      <c r="E273" s="488"/>
      <c r="F273" s="488"/>
      <c r="G273" s="488"/>
      <c r="H273" s="488"/>
      <c r="I273" s="489"/>
      <c r="K273" s="4"/>
      <c r="L273" s="4"/>
      <c r="M273" s="4"/>
      <c r="N273" s="4"/>
      <c r="O273" s="4"/>
    </row>
    <row r="274" spans="1:15" ht="15">
      <c r="B274" s="486"/>
      <c r="C274" s="490" t="s">
        <v>272</v>
      </c>
      <c r="D274" s="941">
        <v>15858256</v>
      </c>
      <c r="E274" s="4" t="s">
        <v>273</v>
      </c>
      <c r="G274" s="78"/>
      <c r="H274" s="78"/>
      <c r="I274" s="491">
        <v>2018</v>
      </c>
      <c r="J274" s="134"/>
      <c r="K274" s="1302" t="s">
        <v>459</v>
      </c>
      <c r="L274" s="1302"/>
      <c r="M274" s="1302"/>
      <c r="N274" s="1302"/>
      <c r="O274" s="1302"/>
    </row>
    <row r="275" spans="1:15">
      <c r="B275" s="486"/>
      <c r="C275" s="490" t="s">
        <v>275</v>
      </c>
      <c r="D275" s="644">
        <v>2014</v>
      </c>
      <c r="E275" s="490" t="s">
        <v>276</v>
      </c>
      <c r="F275" s="78"/>
      <c r="H275"/>
      <c r="I275" s="647">
        <f>IF(G268="",0,$F$15)</f>
        <v>0</v>
      </c>
      <c r="J275" s="492"/>
      <c r="K275" s="931" t="s">
        <v>459</v>
      </c>
    </row>
    <row r="276" spans="1:15">
      <c r="B276" s="486"/>
      <c r="C276" s="490" t="s">
        <v>277</v>
      </c>
      <c r="D276" s="942">
        <v>9</v>
      </c>
      <c r="E276" s="490" t="s">
        <v>278</v>
      </c>
      <c r="F276" s="78"/>
      <c r="H276"/>
      <c r="I276" s="493">
        <f>$G$70</f>
        <v>0.11017952320434825</v>
      </c>
      <c r="J276" s="80"/>
      <c r="K276" t="str">
        <f>"          INPUT PROJECTED ARR (WITH &amp; WITHOUT INCENTIVES) FROM EACH PRIOR YEAR"</f>
        <v xml:space="preserve">          INPUT PROJECTED ARR (WITH &amp; WITHOUT INCENTIVES) FROM EACH PRIOR YEAR</v>
      </c>
    </row>
    <row r="277" spans="1:15">
      <c r="B277" s="486"/>
      <c r="C277" s="490" t="s">
        <v>279</v>
      </c>
      <c r="D277" s="494">
        <f>G$79</f>
        <v>42</v>
      </c>
      <c r="E277" s="490" t="s">
        <v>280</v>
      </c>
      <c r="F277" s="78"/>
      <c r="H277"/>
      <c r="I277" s="493">
        <f>IF(G268="",I276,$G$67)</f>
        <v>0.11017952320434825</v>
      </c>
      <c r="J277" s="80"/>
      <c r="K277" t="s">
        <v>357</v>
      </c>
    </row>
    <row r="278" spans="1:15" ht="13.5" thickBot="1">
      <c r="B278" s="486"/>
      <c r="C278" s="490" t="s">
        <v>281</v>
      </c>
      <c r="D278" s="646" t="s">
        <v>929</v>
      </c>
      <c r="E278" s="495" t="s">
        <v>282</v>
      </c>
      <c r="F278" s="496"/>
      <c r="G278" s="497"/>
      <c r="H278" s="497"/>
      <c r="I278" s="940">
        <f>IF(D274=0,0,D274/D277)</f>
        <v>377577.52380952379</v>
      </c>
      <c r="J278" s="931"/>
      <c r="K278" s="931" t="s">
        <v>363</v>
      </c>
      <c r="L278" s="931"/>
      <c r="M278" s="931"/>
      <c r="N278" s="931"/>
      <c r="O278" s="4"/>
    </row>
    <row r="279" spans="1:15" ht="51">
      <c r="A279" s="12"/>
      <c r="B279" s="12"/>
      <c r="C279" s="498" t="s">
        <v>272</v>
      </c>
      <c r="D279" s="943" t="s">
        <v>283</v>
      </c>
      <c r="E279" s="944" t="s">
        <v>284</v>
      </c>
      <c r="F279" s="943" t="s">
        <v>285</v>
      </c>
      <c r="G279" s="944" t="s">
        <v>356</v>
      </c>
      <c r="H279" s="945" t="s">
        <v>356</v>
      </c>
      <c r="I279" s="498" t="s">
        <v>295</v>
      </c>
      <c r="J279" s="502"/>
      <c r="K279" s="944" t="s">
        <v>365</v>
      </c>
      <c r="L279" s="946"/>
      <c r="M279" s="944" t="s">
        <v>365</v>
      </c>
      <c r="N279" s="946"/>
      <c r="O279" s="946"/>
    </row>
    <row r="280" spans="1:15" ht="13.5" thickBot="1">
      <c r="C280" s="503" t="s">
        <v>177</v>
      </c>
      <c r="D280" s="504" t="s">
        <v>178</v>
      </c>
      <c r="E280" s="503" t="s">
        <v>37</v>
      </c>
      <c r="F280" s="504" t="s">
        <v>178</v>
      </c>
      <c r="G280" s="947" t="s">
        <v>298</v>
      </c>
      <c r="H280" s="948" t="s">
        <v>300</v>
      </c>
      <c r="I280" s="503" t="s">
        <v>389</v>
      </c>
      <c r="J280" s="507"/>
      <c r="K280" s="947" t="s">
        <v>287</v>
      </c>
      <c r="L280" s="949"/>
      <c r="M280" s="947" t="s">
        <v>300</v>
      </c>
      <c r="N280" s="949"/>
      <c r="O280" s="949"/>
    </row>
    <row r="281" spans="1:15">
      <c r="C281" s="508">
        <f>IF(D275= "","-",D275)</f>
        <v>2014</v>
      </c>
      <c r="D281" s="471">
        <f>+D274</f>
        <v>15858256</v>
      </c>
      <c r="E281" s="965">
        <f>+I278/12*(12-D276)</f>
        <v>94394.380952380947</v>
      </c>
      <c r="F281" s="471">
        <f>+D281-E281</f>
        <v>15763861.619047619</v>
      </c>
      <c r="G281" s="951">
        <f>+$I$276*((D281+F281)/2)+E281</f>
        <v>1836449.3019416244</v>
      </c>
      <c r="H281" s="952">
        <f>+$I$277*((D281+F281)/2)+E281</f>
        <v>1836449.3019416244</v>
      </c>
      <c r="I281" s="512">
        <f>+H281-G281</f>
        <v>0</v>
      </c>
      <c r="J281" s="512"/>
      <c r="K281" s="648">
        <v>184681</v>
      </c>
      <c r="L281" s="514"/>
      <c r="M281" s="648">
        <v>184681</v>
      </c>
      <c r="N281" s="514"/>
      <c r="O281" s="514"/>
    </row>
    <row r="282" spans="1:15">
      <c r="C282" s="508">
        <f>IF(D275="","-",+C281+1)</f>
        <v>2015</v>
      </c>
      <c r="D282" s="471">
        <f>F281</f>
        <v>15763861.619047619</v>
      </c>
      <c r="E282" s="515">
        <f>IF(D282&gt;$I$278,$I$278,D282)</f>
        <v>377577.52380952379</v>
      </c>
      <c r="F282" s="471">
        <f>+D282-E282</f>
        <v>15386284.095238095</v>
      </c>
      <c r="G282" s="950">
        <f t="shared" ref="G282:G340" si="12">+$I$276*((D282+F282)/2)+E282</f>
        <v>2093631.6250825098</v>
      </c>
      <c r="H282" s="953">
        <f t="shared" ref="H282:H340" si="13">+$I$277*((D282+F282)/2)+E282</f>
        <v>2093631.6250825098</v>
      </c>
      <c r="I282" s="512">
        <f t="shared" ref="I282:I340" si="14">+H282-G282</f>
        <v>0</v>
      </c>
      <c r="J282" s="512"/>
      <c r="K282" s="649">
        <v>1644963</v>
      </c>
      <c r="L282" s="518"/>
      <c r="M282" s="649">
        <v>1644963</v>
      </c>
      <c r="N282" s="518"/>
      <c r="O282" s="518"/>
    </row>
    <row r="283" spans="1:15">
      <c r="C283" s="508">
        <f>IF(D275="","-",+C282+1)</f>
        <v>2016</v>
      </c>
      <c r="D283" s="471">
        <f>F282</f>
        <v>15386284.095238095</v>
      </c>
      <c r="E283" s="515">
        <f t="shared" ref="E283:E340" si="15">IF(D283&gt;$I$278,$I$278,D283)</f>
        <v>377577.52380952379</v>
      </c>
      <c r="F283" s="471">
        <f t="shared" ref="F283:F340" si="16">+D283-E283</f>
        <v>15008706.571428571</v>
      </c>
      <c r="G283" s="950">
        <f t="shared" si="12"/>
        <v>2052030.3135364978</v>
      </c>
      <c r="H283" s="953">
        <f t="shared" si="13"/>
        <v>2052030.3135364978</v>
      </c>
      <c r="I283" s="512">
        <f t="shared" si="14"/>
        <v>0</v>
      </c>
      <c r="J283" s="512"/>
      <c r="K283" s="649">
        <v>1563801</v>
      </c>
      <c r="L283" s="963"/>
      <c r="M283" s="649">
        <v>1563801</v>
      </c>
      <c r="N283" s="518"/>
      <c r="O283" s="518"/>
    </row>
    <row r="284" spans="1:15">
      <c r="C284" s="508">
        <f>IF(D275="","-",+C283+1)</f>
        <v>2017</v>
      </c>
      <c r="D284" s="471">
        <f t="shared" ref="D284:D340" si="17">F283</f>
        <v>15008706.571428571</v>
      </c>
      <c r="E284" s="515">
        <f t="shared" si="15"/>
        <v>377577.52380952379</v>
      </c>
      <c r="F284" s="471">
        <f t="shared" si="16"/>
        <v>14631129.047619047</v>
      </c>
      <c r="G284" s="950">
        <f t="shared" si="12"/>
        <v>2010429.0019904862</v>
      </c>
      <c r="H284" s="953">
        <f t="shared" si="13"/>
        <v>2010429.0019904862</v>
      </c>
      <c r="I284" s="512">
        <f t="shared" si="14"/>
        <v>0</v>
      </c>
      <c r="J284" s="512"/>
      <c r="K284" s="649">
        <v>1644963</v>
      </c>
      <c r="L284" s="518"/>
      <c r="M284" s="649">
        <v>1644963</v>
      </c>
      <c r="N284" s="518"/>
      <c r="O284" s="518"/>
    </row>
    <row r="285" spans="1:15">
      <c r="C285" s="954">
        <f>IF(D275="","-",+C284+1)</f>
        <v>2018</v>
      </c>
      <c r="D285" s="955">
        <f t="shared" si="17"/>
        <v>14631129.047619047</v>
      </c>
      <c r="E285" s="956">
        <f t="shared" si="15"/>
        <v>377577.52380952379</v>
      </c>
      <c r="F285" s="955">
        <f t="shared" si="16"/>
        <v>14253551.523809522</v>
      </c>
      <c r="G285" s="957">
        <f t="shared" si="12"/>
        <v>1968827.6904444741</v>
      </c>
      <c r="H285" s="958">
        <f t="shared" si="13"/>
        <v>1968827.6904444741</v>
      </c>
      <c r="I285" s="964">
        <f t="shared" si="14"/>
        <v>0</v>
      </c>
      <c r="J285" s="512"/>
      <c r="K285" s="649"/>
      <c r="L285" s="518"/>
      <c r="M285" s="649"/>
      <c r="N285" s="518"/>
      <c r="O285" s="518"/>
    </row>
    <row r="286" spans="1:15">
      <c r="C286" s="508">
        <f>IF(D275="","-",+C285+1)</f>
        <v>2019</v>
      </c>
      <c r="D286" s="471">
        <f t="shared" si="17"/>
        <v>14253551.523809522</v>
      </c>
      <c r="E286" s="515">
        <f t="shared" si="15"/>
        <v>377577.52380952379</v>
      </c>
      <c r="F286" s="471">
        <f t="shared" si="16"/>
        <v>13875973.999999998</v>
      </c>
      <c r="G286" s="950">
        <f t="shared" si="12"/>
        <v>1927226.3788984625</v>
      </c>
      <c r="H286" s="953">
        <f t="shared" si="13"/>
        <v>1927226.3788984625</v>
      </c>
      <c r="I286" s="512">
        <f t="shared" si="14"/>
        <v>0</v>
      </c>
      <c r="J286" s="512"/>
      <c r="K286" s="649"/>
      <c r="L286" s="518"/>
      <c r="M286" s="649"/>
      <c r="N286" s="518"/>
      <c r="O286" s="518"/>
    </row>
    <row r="287" spans="1:15">
      <c r="C287" s="508">
        <f>IF(D275="","-",+C286+1)</f>
        <v>2020</v>
      </c>
      <c r="D287" s="471">
        <f t="shared" si="17"/>
        <v>13875973.999999998</v>
      </c>
      <c r="E287" s="515">
        <f t="shared" si="15"/>
        <v>377577.52380952379</v>
      </c>
      <c r="F287" s="471">
        <f t="shared" si="16"/>
        <v>13498396.476190474</v>
      </c>
      <c r="G287" s="950">
        <f t="shared" si="12"/>
        <v>1885625.0673524505</v>
      </c>
      <c r="H287" s="953">
        <f t="shared" si="13"/>
        <v>1885625.0673524505</v>
      </c>
      <c r="I287" s="512">
        <f t="shared" si="14"/>
        <v>0</v>
      </c>
      <c r="J287" s="512"/>
      <c r="K287" s="649"/>
      <c r="L287" s="518"/>
      <c r="M287" s="649"/>
      <c r="N287" s="518"/>
      <c r="O287" s="518"/>
    </row>
    <row r="288" spans="1:15">
      <c r="C288" s="508">
        <f>IF(D275="","-",+C287+1)</f>
        <v>2021</v>
      </c>
      <c r="D288" s="471">
        <f t="shared" si="17"/>
        <v>13498396.476190474</v>
      </c>
      <c r="E288" s="515">
        <f t="shared" si="15"/>
        <v>377577.52380952379</v>
      </c>
      <c r="F288" s="471">
        <f t="shared" si="16"/>
        <v>13120818.95238095</v>
      </c>
      <c r="G288" s="950">
        <f t="shared" si="12"/>
        <v>1844023.7558064389</v>
      </c>
      <c r="H288" s="953">
        <f t="shared" si="13"/>
        <v>1844023.7558064389</v>
      </c>
      <c r="I288" s="512">
        <f t="shared" si="14"/>
        <v>0</v>
      </c>
      <c r="J288" s="512"/>
      <c r="K288" s="649"/>
      <c r="L288" s="518"/>
      <c r="M288" s="649"/>
      <c r="N288" s="518"/>
      <c r="O288" s="518"/>
    </row>
    <row r="289" spans="3:15">
      <c r="C289" s="508">
        <f>IF(D275="","-",+C288+1)</f>
        <v>2022</v>
      </c>
      <c r="D289" s="471">
        <f t="shared" si="17"/>
        <v>13120818.95238095</v>
      </c>
      <c r="E289" s="515">
        <f t="shared" si="15"/>
        <v>377577.52380952379</v>
      </c>
      <c r="F289" s="471">
        <f t="shared" si="16"/>
        <v>12743241.428571425</v>
      </c>
      <c r="G289" s="950">
        <f t="shared" si="12"/>
        <v>1802422.4442604268</v>
      </c>
      <c r="H289" s="953">
        <f t="shared" si="13"/>
        <v>1802422.4442604268</v>
      </c>
      <c r="I289" s="512">
        <f t="shared" si="14"/>
        <v>0</v>
      </c>
      <c r="J289" s="512"/>
      <c r="K289" s="649"/>
      <c r="L289" s="518"/>
      <c r="M289" s="649"/>
      <c r="N289" s="518"/>
      <c r="O289" s="518"/>
    </row>
    <row r="290" spans="3:15">
      <c r="C290" s="508">
        <f>IF(D275="","-",+C289+1)</f>
        <v>2023</v>
      </c>
      <c r="D290" s="471">
        <f t="shared" si="17"/>
        <v>12743241.428571425</v>
      </c>
      <c r="E290" s="515">
        <f t="shared" si="15"/>
        <v>377577.52380952379</v>
      </c>
      <c r="F290" s="471">
        <f t="shared" si="16"/>
        <v>12365663.904761901</v>
      </c>
      <c r="G290" s="950">
        <f t="shared" si="12"/>
        <v>1760821.1327144152</v>
      </c>
      <c r="H290" s="953">
        <f t="shared" si="13"/>
        <v>1760821.1327144152</v>
      </c>
      <c r="I290" s="512">
        <f t="shared" si="14"/>
        <v>0</v>
      </c>
      <c r="J290" s="512"/>
      <c r="K290" s="649"/>
      <c r="L290" s="518"/>
      <c r="M290" s="649"/>
      <c r="N290" s="518"/>
      <c r="O290" s="518"/>
    </row>
    <row r="291" spans="3:15">
      <c r="C291" s="508">
        <f>IF(D275="","-",+C290+1)</f>
        <v>2024</v>
      </c>
      <c r="D291" s="471">
        <f t="shared" si="17"/>
        <v>12365663.904761901</v>
      </c>
      <c r="E291" s="515">
        <f t="shared" si="15"/>
        <v>377577.52380952379</v>
      </c>
      <c r="F291" s="471">
        <f t="shared" si="16"/>
        <v>11988086.380952377</v>
      </c>
      <c r="G291" s="950">
        <f t="shared" si="12"/>
        <v>1719219.8211684031</v>
      </c>
      <c r="H291" s="953">
        <f t="shared" si="13"/>
        <v>1719219.8211684031</v>
      </c>
      <c r="I291" s="512">
        <f t="shared" si="14"/>
        <v>0</v>
      </c>
      <c r="J291" s="512"/>
      <c r="K291" s="649"/>
      <c r="L291" s="518"/>
      <c r="M291" s="649"/>
      <c r="N291" s="518"/>
      <c r="O291" s="518"/>
    </row>
    <row r="292" spans="3:15">
      <c r="C292" s="508">
        <f>IF(D275="","-",+C291+1)</f>
        <v>2025</v>
      </c>
      <c r="D292" s="471">
        <f t="shared" si="17"/>
        <v>11988086.380952377</v>
      </c>
      <c r="E292" s="515">
        <f t="shared" si="15"/>
        <v>377577.52380952379</v>
      </c>
      <c r="F292" s="471">
        <f t="shared" si="16"/>
        <v>11610508.857142853</v>
      </c>
      <c r="G292" s="950">
        <f t="shared" si="12"/>
        <v>1677618.5096223915</v>
      </c>
      <c r="H292" s="953">
        <f t="shared" si="13"/>
        <v>1677618.5096223915</v>
      </c>
      <c r="I292" s="512">
        <f t="shared" si="14"/>
        <v>0</v>
      </c>
      <c r="J292" s="512"/>
      <c r="K292" s="649"/>
      <c r="L292" s="518"/>
      <c r="M292" s="649"/>
      <c r="N292" s="518"/>
      <c r="O292" s="518"/>
    </row>
    <row r="293" spans="3:15">
      <c r="C293" s="508">
        <f>IF(D275="","-",+C292+1)</f>
        <v>2026</v>
      </c>
      <c r="D293" s="471">
        <f t="shared" si="17"/>
        <v>11610508.857142853</v>
      </c>
      <c r="E293" s="515">
        <f t="shared" si="15"/>
        <v>377577.52380952379</v>
      </c>
      <c r="F293" s="471">
        <f t="shared" si="16"/>
        <v>11232931.333333328</v>
      </c>
      <c r="G293" s="950">
        <f t="shared" si="12"/>
        <v>1636017.1980763795</v>
      </c>
      <c r="H293" s="953">
        <f t="shared" si="13"/>
        <v>1636017.1980763795</v>
      </c>
      <c r="I293" s="512">
        <f t="shared" si="14"/>
        <v>0</v>
      </c>
      <c r="J293" s="512"/>
      <c r="K293" s="649"/>
      <c r="L293" s="518"/>
      <c r="M293" s="649"/>
      <c r="N293" s="519"/>
      <c r="O293" s="518"/>
    </row>
    <row r="294" spans="3:15">
      <c r="C294" s="508">
        <f>IF(D275="","-",+C293+1)</f>
        <v>2027</v>
      </c>
      <c r="D294" s="471">
        <f t="shared" si="17"/>
        <v>11232931.333333328</v>
      </c>
      <c r="E294" s="515">
        <f t="shared" si="15"/>
        <v>377577.52380952379</v>
      </c>
      <c r="F294" s="471">
        <f t="shared" si="16"/>
        <v>10855353.809523804</v>
      </c>
      <c r="G294" s="950">
        <f t="shared" si="12"/>
        <v>1594415.8865303679</v>
      </c>
      <c r="H294" s="953">
        <f t="shared" si="13"/>
        <v>1594415.8865303679</v>
      </c>
      <c r="I294" s="512">
        <f t="shared" si="14"/>
        <v>0</v>
      </c>
      <c r="J294" s="512"/>
      <c r="K294" s="649"/>
      <c r="L294" s="518"/>
      <c r="M294" s="649"/>
      <c r="N294" s="518"/>
      <c r="O294" s="518"/>
    </row>
    <row r="295" spans="3:15">
      <c r="C295" s="508">
        <f>IF(D275="","-",+C294+1)</f>
        <v>2028</v>
      </c>
      <c r="D295" s="471">
        <f t="shared" si="17"/>
        <v>10855353.809523804</v>
      </c>
      <c r="E295" s="515">
        <f t="shared" si="15"/>
        <v>377577.52380952379</v>
      </c>
      <c r="F295" s="471">
        <f t="shared" si="16"/>
        <v>10477776.28571428</v>
      </c>
      <c r="G295" s="950">
        <f t="shared" si="12"/>
        <v>1552814.5749843558</v>
      </c>
      <c r="H295" s="953">
        <f t="shared" si="13"/>
        <v>1552814.5749843558</v>
      </c>
      <c r="I295" s="512">
        <f t="shared" si="14"/>
        <v>0</v>
      </c>
      <c r="J295" s="512"/>
      <c r="K295" s="649"/>
      <c r="L295" s="518"/>
      <c r="M295" s="649"/>
      <c r="N295" s="518"/>
      <c r="O295" s="518"/>
    </row>
    <row r="296" spans="3:15">
      <c r="C296" s="508">
        <f>IF(D275="","-",+C295+1)</f>
        <v>2029</v>
      </c>
      <c r="D296" s="471">
        <f t="shared" si="17"/>
        <v>10477776.28571428</v>
      </c>
      <c r="E296" s="515">
        <f t="shared" si="15"/>
        <v>377577.52380952379</v>
      </c>
      <c r="F296" s="471">
        <f t="shared" si="16"/>
        <v>10100198.761904756</v>
      </c>
      <c r="G296" s="950">
        <f t="shared" si="12"/>
        <v>1511213.2634383442</v>
      </c>
      <c r="H296" s="953">
        <f t="shared" si="13"/>
        <v>1511213.2634383442</v>
      </c>
      <c r="I296" s="512">
        <f t="shared" si="14"/>
        <v>0</v>
      </c>
      <c r="J296" s="512"/>
      <c r="K296" s="649"/>
      <c r="L296" s="518"/>
      <c r="M296" s="649"/>
      <c r="N296" s="518"/>
      <c r="O296" s="518"/>
    </row>
    <row r="297" spans="3:15">
      <c r="C297" s="508">
        <f>IF(D275="","-",+C296+1)</f>
        <v>2030</v>
      </c>
      <c r="D297" s="471">
        <f t="shared" si="17"/>
        <v>10100198.761904756</v>
      </c>
      <c r="E297" s="515">
        <f t="shared" si="15"/>
        <v>377577.52380952379</v>
      </c>
      <c r="F297" s="471">
        <f t="shared" si="16"/>
        <v>9722621.2380952314</v>
      </c>
      <c r="G297" s="950">
        <f t="shared" si="12"/>
        <v>1469611.9518923322</v>
      </c>
      <c r="H297" s="953">
        <f t="shared" si="13"/>
        <v>1469611.9518923322</v>
      </c>
      <c r="I297" s="512">
        <f t="shared" si="14"/>
        <v>0</v>
      </c>
      <c r="J297" s="512"/>
      <c r="K297" s="649"/>
      <c r="L297" s="518"/>
      <c r="M297" s="649"/>
      <c r="N297" s="518"/>
      <c r="O297" s="518"/>
    </row>
    <row r="298" spans="3:15">
      <c r="C298" s="508">
        <f>IF(D275="","-",+C297+1)</f>
        <v>2031</v>
      </c>
      <c r="D298" s="471">
        <f t="shared" si="17"/>
        <v>9722621.2380952314</v>
      </c>
      <c r="E298" s="515">
        <f t="shared" si="15"/>
        <v>377577.52380952379</v>
      </c>
      <c r="F298" s="471">
        <f t="shared" si="16"/>
        <v>9345043.7142857071</v>
      </c>
      <c r="G298" s="950">
        <f t="shared" si="12"/>
        <v>1428010.6403463206</v>
      </c>
      <c r="H298" s="953">
        <f t="shared" si="13"/>
        <v>1428010.6403463206</v>
      </c>
      <c r="I298" s="512">
        <f t="shared" si="14"/>
        <v>0</v>
      </c>
      <c r="J298" s="512"/>
      <c r="K298" s="649"/>
      <c r="L298" s="518"/>
      <c r="M298" s="649"/>
      <c r="N298" s="518"/>
      <c r="O298" s="518"/>
    </row>
    <row r="299" spans="3:15">
      <c r="C299" s="508">
        <f>IF(D275="","-",+C298+1)</f>
        <v>2032</v>
      </c>
      <c r="D299" s="471">
        <f t="shared" si="17"/>
        <v>9345043.7142857071</v>
      </c>
      <c r="E299" s="515">
        <f t="shared" si="15"/>
        <v>377577.52380952379</v>
      </c>
      <c r="F299" s="471">
        <f t="shared" si="16"/>
        <v>8967466.1904761828</v>
      </c>
      <c r="G299" s="950">
        <f t="shared" si="12"/>
        <v>1386409.3288003085</v>
      </c>
      <c r="H299" s="953">
        <f t="shared" si="13"/>
        <v>1386409.3288003085</v>
      </c>
      <c r="I299" s="512">
        <f t="shared" si="14"/>
        <v>0</v>
      </c>
      <c r="J299" s="512"/>
      <c r="K299" s="649"/>
      <c r="L299" s="518"/>
      <c r="M299" s="649"/>
      <c r="N299" s="518"/>
      <c r="O299" s="518"/>
    </row>
    <row r="300" spans="3:15">
      <c r="C300" s="508">
        <f>IF(D275="","-",+C299+1)</f>
        <v>2033</v>
      </c>
      <c r="D300" s="471">
        <f t="shared" si="17"/>
        <v>8967466.1904761828</v>
      </c>
      <c r="E300" s="515">
        <f t="shared" si="15"/>
        <v>377577.52380952379</v>
      </c>
      <c r="F300" s="471">
        <f t="shared" si="16"/>
        <v>8589888.6666666586</v>
      </c>
      <c r="G300" s="950">
        <f t="shared" si="12"/>
        <v>1344808.0172542969</v>
      </c>
      <c r="H300" s="953">
        <f t="shared" si="13"/>
        <v>1344808.0172542969</v>
      </c>
      <c r="I300" s="512">
        <f t="shared" si="14"/>
        <v>0</v>
      </c>
      <c r="J300" s="512"/>
      <c r="K300" s="649"/>
      <c r="L300" s="518"/>
      <c r="M300" s="649"/>
      <c r="N300" s="518"/>
      <c r="O300" s="518"/>
    </row>
    <row r="301" spans="3:15">
      <c r="C301" s="508">
        <f>IF(D275="","-",+C300+1)</f>
        <v>2034</v>
      </c>
      <c r="D301" s="471">
        <f t="shared" si="17"/>
        <v>8589888.6666666586</v>
      </c>
      <c r="E301" s="515">
        <f t="shared" si="15"/>
        <v>377577.52380952379</v>
      </c>
      <c r="F301" s="471">
        <f t="shared" si="16"/>
        <v>8212311.1428571343</v>
      </c>
      <c r="G301" s="950">
        <f t="shared" si="12"/>
        <v>1303206.7057082849</v>
      </c>
      <c r="H301" s="953">
        <f t="shared" si="13"/>
        <v>1303206.7057082849</v>
      </c>
      <c r="I301" s="512">
        <f t="shared" si="14"/>
        <v>0</v>
      </c>
      <c r="J301" s="512"/>
      <c r="K301" s="649"/>
      <c r="L301" s="518"/>
      <c r="M301" s="649"/>
      <c r="N301" s="518"/>
      <c r="O301" s="518"/>
    </row>
    <row r="302" spans="3:15">
      <c r="C302" s="508">
        <f>IF(D275="","-",+C301+1)</f>
        <v>2035</v>
      </c>
      <c r="D302" s="471">
        <f t="shared" si="17"/>
        <v>8212311.1428571343</v>
      </c>
      <c r="E302" s="515">
        <f t="shared" si="15"/>
        <v>377577.52380952379</v>
      </c>
      <c r="F302" s="471">
        <f t="shared" si="16"/>
        <v>7834733.6190476101</v>
      </c>
      <c r="G302" s="950">
        <f t="shared" si="12"/>
        <v>1261605.394162273</v>
      </c>
      <c r="H302" s="953">
        <f t="shared" si="13"/>
        <v>1261605.394162273</v>
      </c>
      <c r="I302" s="512">
        <f t="shared" si="14"/>
        <v>0</v>
      </c>
      <c r="J302" s="512"/>
      <c r="K302" s="649"/>
      <c r="L302" s="518"/>
      <c r="M302" s="649"/>
      <c r="N302" s="518"/>
      <c r="O302" s="518"/>
    </row>
    <row r="303" spans="3:15">
      <c r="C303" s="508">
        <f>IF(D275="","-",+C302+1)</f>
        <v>2036</v>
      </c>
      <c r="D303" s="471">
        <f t="shared" si="17"/>
        <v>7834733.6190476101</v>
      </c>
      <c r="E303" s="515">
        <f t="shared" si="15"/>
        <v>377577.52380952379</v>
      </c>
      <c r="F303" s="471">
        <f t="shared" si="16"/>
        <v>7457156.0952380858</v>
      </c>
      <c r="G303" s="950">
        <f t="shared" si="12"/>
        <v>1220004.0826162612</v>
      </c>
      <c r="H303" s="953">
        <f t="shared" si="13"/>
        <v>1220004.0826162612</v>
      </c>
      <c r="I303" s="512">
        <f t="shared" si="14"/>
        <v>0</v>
      </c>
      <c r="J303" s="512"/>
      <c r="K303" s="649"/>
      <c r="L303" s="518"/>
      <c r="M303" s="649"/>
      <c r="N303" s="518"/>
      <c r="O303" s="518"/>
    </row>
    <row r="304" spans="3:15">
      <c r="C304" s="508">
        <f>IF(D275="","-",+C303+1)</f>
        <v>2037</v>
      </c>
      <c r="D304" s="471">
        <f t="shared" si="17"/>
        <v>7457156.0952380858</v>
      </c>
      <c r="E304" s="515">
        <f t="shared" si="15"/>
        <v>377577.52380952379</v>
      </c>
      <c r="F304" s="471">
        <f t="shared" si="16"/>
        <v>7079578.5714285616</v>
      </c>
      <c r="G304" s="950">
        <f t="shared" si="12"/>
        <v>1178402.7710702494</v>
      </c>
      <c r="H304" s="953">
        <f t="shared" si="13"/>
        <v>1178402.7710702494</v>
      </c>
      <c r="I304" s="512">
        <f t="shared" si="14"/>
        <v>0</v>
      </c>
      <c r="J304" s="512"/>
      <c r="K304" s="649"/>
      <c r="L304" s="518"/>
      <c r="M304" s="649"/>
      <c r="N304" s="518"/>
      <c r="O304" s="518"/>
    </row>
    <row r="305" spans="3:15">
      <c r="C305" s="508">
        <f>IF(D275="","-",+C304+1)</f>
        <v>2038</v>
      </c>
      <c r="D305" s="471">
        <f t="shared" si="17"/>
        <v>7079578.5714285616</v>
      </c>
      <c r="E305" s="515">
        <f t="shared" si="15"/>
        <v>377577.52380952379</v>
      </c>
      <c r="F305" s="471">
        <f t="shared" si="16"/>
        <v>6702001.0476190373</v>
      </c>
      <c r="G305" s="950">
        <f t="shared" si="12"/>
        <v>1136801.4595242376</v>
      </c>
      <c r="H305" s="953">
        <f t="shared" si="13"/>
        <v>1136801.4595242376</v>
      </c>
      <c r="I305" s="512">
        <f t="shared" si="14"/>
        <v>0</v>
      </c>
      <c r="J305" s="512"/>
      <c r="K305" s="649"/>
      <c r="L305" s="518"/>
      <c r="M305" s="649"/>
      <c r="N305" s="518"/>
      <c r="O305" s="518"/>
    </row>
    <row r="306" spans="3:15">
      <c r="C306" s="508">
        <f>IF(D275="","-",+C305+1)</f>
        <v>2039</v>
      </c>
      <c r="D306" s="471">
        <f t="shared" si="17"/>
        <v>6702001.0476190373</v>
      </c>
      <c r="E306" s="515">
        <f t="shared" si="15"/>
        <v>377577.52380952379</v>
      </c>
      <c r="F306" s="471">
        <f t="shared" si="16"/>
        <v>6324423.5238095131</v>
      </c>
      <c r="G306" s="950">
        <f t="shared" si="12"/>
        <v>1095200.1479782257</v>
      </c>
      <c r="H306" s="953">
        <f t="shared" si="13"/>
        <v>1095200.1479782257</v>
      </c>
      <c r="I306" s="512">
        <f t="shared" si="14"/>
        <v>0</v>
      </c>
      <c r="J306" s="512"/>
      <c r="K306" s="649"/>
      <c r="L306" s="518"/>
      <c r="M306" s="649"/>
      <c r="N306" s="518"/>
      <c r="O306" s="518"/>
    </row>
    <row r="307" spans="3:15">
      <c r="C307" s="508">
        <f>IF(D275="","-",+C306+1)</f>
        <v>2040</v>
      </c>
      <c r="D307" s="471">
        <f t="shared" si="17"/>
        <v>6324423.5238095131</v>
      </c>
      <c r="E307" s="515">
        <f t="shared" si="15"/>
        <v>377577.52380952379</v>
      </c>
      <c r="F307" s="471">
        <f t="shared" si="16"/>
        <v>5946845.9999999888</v>
      </c>
      <c r="G307" s="950">
        <f t="shared" si="12"/>
        <v>1053598.8364322139</v>
      </c>
      <c r="H307" s="953">
        <f t="shared" si="13"/>
        <v>1053598.8364322139</v>
      </c>
      <c r="I307" s="512">
        <f t="shared" si="14"/>
        <v>0</v>
      </c>
      <c r="J307" s="512"/>
      <c r="K307" s="649"/>
      <c r="L307" s="518"/>
      <c r="M307" s="649"/>
      <c r="N307" s="518"/>
      <c r="O307" s="518"/>
    </row>
    <row r="308" spans="3:15">
      <c r="C308" s="508">
        <f>IF(D275="","-",+C307+1)</f>
        <v>2041</v>
      </c>
      <c r="D308" s="471">
        <f t="shared" si="17"/>
        <v>5946845.9999999888</v>
      </c>
      <c r="E308" s="515">
        <f t="shared" si="15"/>
        <v>377577.52380952379</v>
      </c>
      <c r="F308" s="471">
        <f t="shared" si="16"/>
        <v>5569268.4761904646</v>
      </c>
      <c r="G308" s="950">
        <f t="shared" si="12"/>
        <v>1011997.5248862022</v>
      </c>
      <c r="H308" s="953">
        <f t="shared" si="13"/>
        <v>1011997.5248862022</v>
      </c>
      <c r="I308" s="512">
        <f t="shared" si="14"/>
        <v>0</v>
      </c>
      <c r="J308" s="512"/>
      <c r="K308" s="649"/>
      <c r="L308" s="518"/>
      <c r="M308" s="649"/>
      <c r="N308" s="518"/>
      <c r="O308" s="518"/>
    </row>
    <row r="309" spans="3:15">
      <c r="C309" s="508">
        <f>IF(D275="","-",+C308+1)</f>
        <v>2042</v>
      </c>
      <c r="D309" s="471">
        <f t="shared" si="17"/>
        <v>5569268.4761904646</v>
      </c>
      <c r="E309" s="515">
        <f t="shared" si="15"/>
        <v>377577.52380952379</v>
      </c>
      <c r="F309" s="471">
        <f t="shared" si="16"/>
        <v>5191690.9523809403</v>
      </c>
      <c r="G309" s="959">
        <f t="shared" si="12"/>
        <v>970396.21334019036</v>
      </c>
      <c r="H309" s="953">
        <f t="shared" si="13"/>
        <v>970396.21334019036</v>
      </c>
      <c r="I309" s="512">
        <f t="shared" si="14"/>
        <v>0</v>
      </c>
      <c r="J309" s="512"/>
      <c r="K309" s="649"/>
      <c r="L309" s="518"/>
      <c r="M309" s="649"/>
      <c r="N309" s="518"/>
      <c r="O309" s="518"/>
    </row>
    <row r="310" spans="3:15">
      <c r="C310" s="508">
        <f>IF(D275="","-",+C309+1)</f>
        <v>2043</v>
      </c>
      <c r="D310" s="471">
        <f t="shared" si="17"/>
        <v>5191690.9523809403</v>
      </c>
      <c r="E310" s="515">
        <f t="shared" si="15"/>
        <v>377577.52380952379</v>
      </c>
      <c r="F310" s="471">
        <f t="shared" si="16"/>
        <v>4814113.4285714161</v>
      </c>
      <c r="G310" s="950">
        <f t="shared" si="12"/>
        <v>928794.90179417853</v>
      </c>
      <c r="H310" s="953">
        <f t="shared" si="13"/>
        <v>928794.90179417853</v>
      </c>
      <c r="I310" s="512">
        <f t="shared" si="14"/>
        <v>0</v>
      </c>
      <c r="J310" s="512"/>
      <c r="K310" s="649"/>
      <c r="L310" s="518"/>
      <c r="M310" s="649"/>
      <c r="N310" s="518"/>
      <c r="O310" s="518"/>
    </row>
    <row r="311" spans="3:15">
      <c r="C311" s="508">
        <f>IF(D275="","-",+C310+1)</f>
        <v>2044</v>
      </c>
      <c r="D311" s="471">
        <f t="shared" si="17"/>
        <v>4814113.4285714161</v>
      </c>
      <c r="E311" s="515">
        <f t="shared" si="15"/>
        <v>377577.52380952379</v>
      </c>
      <c r="F311" s="471">
        <f t="shared" si="16"/>
        <v>4436535.9047618918</v>
      </c>
      <c r="G311" s="950">
        <f t="shared" si="12"/>
        <v>887193.5902481667</v>
      </c>
      <c r="H311" s="953">
        <f t="shared" si="13"/>
        <v>887193.5902481667</v>
      </c>
      <c r="I311" s="512">
        <f t="shared" si="14"/>
        <v>0</v>
      </c>
      <c r="J311" s="512"/>
      <c r="K311" s="649"/>
      <c r="L311" s="518"/>
      <c r="M311" s="649"/>
      <c r="N311" s="518"/>
      <c r="O311" s="518"/>
    </row>
    <row r="312" spans="3:15">
      <c r="C312" s="508">
        <f>IF(D275="","-",+C311+1)</f>
        <v>2045</v>
      </c>
      <c r="D312" s="471">
        <f t="shared" si="17"/>
        <v>4436535.9047618918</v>
      </c>
      <c r="E312" s="515">
        <f t="shared" si="15"/>
        <v>377577.52380952379</v>
      </c>
      <c r="F312" s="471">
        <f t="shared" si="16"/>
        <v>4058958.380952368</v>
      </c>
      <c r="G312" s="950">
        <f t="shared" si="12"/>
        <v>845592.27870215487</v>
      </c>
      <c r="H312" s="953">
        <f t="shared" si="13"/>
        <v>845592.27870215487</v>
      </c>
      <c r="I312" s="512">
        <f t="shared" si="14"/>
        <v>0</v>
      </c>
      <c r="J312" s="512"/>
      <c r="K312" s="649"/>
      <c r="L312" s="518"/>
      <c r="M312" s="649"/>
      <c r="N312" s="518"/>
      <c r="O312" s="518"/>
    </row>
    <row r="313" spans="3:15">
      <c r="C313" s="508">
        <f>IF(D275="","-",+C312+1)</f>
        <v>2046</v>
      </c>
      <c r="D313" s="471">
        <f t="shared" si="17"/>
        <v>4058958.380952368</v>
      </c>
      <c r="E313" s="515">
        <f t="shared" si="15"/>
        <v>377577.52380952379</v>
      </c>
      <c r="F313" s="471">
        <f t="shared" si="16"/>
        <v>3681380.8571428442</v>
      </c>
      <c r="G313" s="950">
        <f t="shared" si="12"/>
        <v>803990.96715614316</v>
      </c>
      <c r="H313" s="953">
        <f t="shared" si="13"/>
        <v>803990.96715614316</v>
      </c>
      <c r="I313" s="512">
        <f t="shared" si="14"/>
        <v>0</v>
      </c>
      <c r="J313" s="512"/>
      <c r="K313" s="649"/>
      <c r="L313" s="518"/>
      <c r="M313" s="649"/>
      <c r="N313" s="518"/>
      <c r="O313" s="518"/>
    </row>
    <row r="314" spans="3:15">
      <c r="C314" s="508">
        <f>IF(D275="","-",+C313+1)</f>
        <v>2047</v>
      </c>
      <c r="D314" s="471">
        <f t="shared" si="17"/>
        <v>3681380.8571428442</v>
      </c>
      <c r="E314" s="515">
        <f t="shared" si="15"/>
        <v>377577.52380952379</v>
      </c>
      <c r="F314" s="471">
        <f t="shared" si="16"/>
        <v>3303803.3333333205</v>
      </c>
      <c r="G314" s="950">
        <f t="shared" si="12"/>
        <v>762389.65561013133</v>
      </c>
      <c r="H314" s="953">
        <f t="shared" si="13"/>
        <v>762389.65561013133</v>
      </c>
      <c r="I314" s="512">
        <f t="shared" si="14"/>
        <v>0</v>
      </c>
      <c r="J314" s="512"/>
      <c r="K314" s="649"/>
      <c r="L314" s="518"/>
      <c r="M314" s="649"/>
      <c r="N314" s="518"/>
      <c r="O314" s="518"/>
    </row>
    <row r="315" spans="3:15">
      <c r="C315" s="508">
        <f>IF(D275="","-",+C314+1)</f>
        <v>2048</v>
      </c>
      <c r="D315" s="471">
        <f t="shared" si="17"/>
        <v>3303803.3333333205</v>
      </c>
      <c r="E315" s="515">
        <f t="shared" si="15"/>
        <v>377577.52380952379</v>
      </c>
      <c r="F315" s="471">
        <f t="shared" si="16"/>
        <v>2926225.8095237967</v>
      </c>
      <c r="G315" s="950">
        <f t="shared" si="12"/>
        <v>720788.34406411962</v>
      </c>
      <c r="H315" s="953">
        <f t="shared" si="13"/>
        <v>720788.34406411962</v>
      </c>
      <c r="I315" s="512">
        <f t="shared" si="14"/>
        <v>0</v>
      </c>
      <c r="J315" s="512"/>
      <c r="K315" s="649"/>
      <c r="L315" s="518"/>
      <c r="M315" s="649"/>
      <c r="N315" s="518"/>
      <c r="O315" s="518"/>
    </row>
    <row r="316" spans="3:15">
      <c r="C316" s="508">
        <f>IF(D275="","-",+C315+1)</f>
        <v>2049</v>
      </c>
      <c r="D316" s="471">
        <f t="shared" si="17"/>
        <v>2926225.8095237967</v>
      </c>
      <c r="E316" s="515">
        <f t="shared" si="15"/>
        <v>377577.52380952379</v>
      </c>
      <c r="F316" s="471">
        <f t="shared" si="16"/>
        <v>2548648.2857142729</v>
      </c>
      <c r="G316" s="950">
        <f t="shared" si="12"/>
        <v>679187.03251810768</v>
      </c>
      <c r="H316" s="953">
        <f t="shared" si="13"/>
        <v>679187.03251810768</v>
      </c>
      <c r="I316" s="512">
        <f t="shared" si="14"/>
        <v>0</v>
      </c>
      <c r="J316" s="512"/>
      <c r="K316" s="649"/>
      <c r="L316" s="518"/>
      <c r="M316" s="649"/>
      <c r="N316" s="518"/>
      <c r="O316" s="518"/>
    </row>
    <row r="317" spans="3:15">
      <c r="C317" s="508">
        <f>IF(D275="","-",+C316+1)</f>
        <v>2050</v>
      </c>
      <c r="D317" s="471">
        <f t="shared" si="17"/>
        <v>2548648.2857142729</v>
      </c>
      <c r="E317" s="515">
        <f t="shared" si="15"/>
        <v>377577.52380952379</v>
      </c>
      <c r="F317" s="471">
        <f t="shared" si="16"/>
        <v>2171070.7619047491</v>
      </c>
      <c r="G317" s="950">
        <f t="shared" si="12"/>
        <v>637585.72097209608</v>
      </c>
      <c r="H317" s="953">
        <f t="shared" si="13"/>
        <v>637585.72097209608</v>
      </c>
      <c r="I317" s="512">
        <f t="shared" si="14"/>
        <v>0</v>
      </c>
      <c r="J317" s="512"/>
      <c r="K317" s="649"/>
      <c r="L317" s="518"/>
      <c r="M317" s="649"/>
      <c r="N317" s="518"/>
      <c r="O317" s="518"/>
    </row>
    <row r="318" spans="3:15">
      <c r="C318" s="508">
        <f>IF(D275="","-",+C317+1)</f>
        <v>2051</v>
      </c>
      <c r="D318" s="471">
        <f t="shared" si="17"/>
        <v>2171070.7619047491</v>
      </c>
      <c r="E318" s="515">
        <f t="shared" si="15"/>
        <v>377577.52380952379</v>
      </c>
      <c r="F318" s="471">
        <f t="shared" si="16"/>
        <v>1793493.2380952253</v>
      </c>
      <c r="G318" s="950">
        <f t="shared" si="12"/>
        <v>595984.40942608425</v>
      </c>
      <c r="H318" s="953">
        <f t="shared" si="13"/>
        <v>595984.40942608425</v>
      </c>
      <c r="I318" s="512">
        <f t="shared" si="14"/>
        <v>0</v>
      </c>
      <c r="J318" s="512"/>
      <c r="K318" s="649"/>
      <c r="L318" s="518"/>
      <c r="M318" s="649"/>
      <c r="N318" s="518"/>
      <c r="O318" s="518"/>
    </row>
    <row r="319" spans="3:15">
      <c r="C319" s="508">
        <f>IF(D275="","-",+C318+1)</f>
        <v>2052</v>
      </c>
      <c r="D319" s="471">
        <f t="shared" si="17"/>
        <v>1793493.2380952253</v>
      </c>
      <c r="E319" s="515">
        <f t="shared" si="15"/>
        <v>377577.52380952379</v>
      </c>
      <c r="F319" s="471">
        <f t="shared" si="16"/>
        <v>1415915.7142857015</v>
      </c>
      <c r="G319" s="950">
        <f t="shared" si="12"/>
        <v>554383.09788007243</v>
      </c>
      <c r="H319" s="953">
        <f t="shared" si="13"/>
        <v>554383.09788007243</v>
      </c>
      <c r="I319" s="512">
        <f t="shared" si="14"/>
        <v>0</v>
      </c>
      <c r="J319" s="512"/>
      <c r="K319" s="649"/>
      <c r="L319" s="518"/>
      <c r="M319" s="649"/>
      <c r="N319" s="518"/>
      <c r="O319" s="518"/>
    </row>
    <row r="320" spans="3:15">
      <c r="C320" s="508">
        <f>IF(D275="","-",+C319+1)</f>
        <v>2053</v>
      </c>
      <c r="D320" s="471">
        <f t="shared" si="17"/>
        <v>1415915.7142857015</v>
      </c>
      <c r="E320" s="515">
        <f t="shared" si="15"/>
        <v>377577.52380952379</v>
      </c>
      <c r="F320" s="471">
        <f t="shared" si="16"/>
        <v>1038338.1904761777</v>
      </c>
      <c r="G320" s="950">
        <f t="shared" si="12"/>
        <v>512781.78633406071</v>
      </c>
      <c r="H320" s="953">
        <f t="shared" si="13"/>
        <v>512781.78633406071</v>
      </c>
      <c r="I320" s="512">
        <f t="shared" si="14"/>
        <v>0</v>
      </c>
      <c r="J320" s="512"/>
      <c r="K320" s="649"/>
      <c r="L320" s="518"/>
      <c r="M320" s="649"/>
      <c r="N320" s="518"/>
      <c r="O320" s="518"/>
    </row>
    <row r="321" spans="3:15">
      <c r="C321" s="508">
        <f>IF(D275="","-",+C320+1)</f>
        <v>2054</v>
      </c>
      <c r="D321" s="471">
        <f t="shared" si="17"/>
        <v>1038338.1904761777</v>
      </c>
      <c r="E321" s="515">
        <f t="shared" si="15"/>
        <v>377577.52380952379</v>
      </c>
      <c r="F321" s="471">
        <f t="shared" si="16"/>
        <v>660760.66666665394</v>
      </c>
      <c r="G321" s="950">
        <f t="shared" si="12"/>
        <v>471180.47478804889</v>
      </c>
      <c r="H321" s="953">
        <f t="shared" si="13"/>
        <v>471180.47478804889</v>
      </c>
      <c r="I321" s="512">
        <f t="shared" si="14"/>
        <v>0</v>
      </c>
      <c r="J321" s="512"/>
      <c r="K321" s="649"/>
      <c r="L321" s="518"/>
      <c r="M321" s="649"/>
      <c r="N321" s="518"/>
      <c r="O321" s="518"/>
    </row>
    <row r="322" spans="3:15">
      <c r="C322" s="508">
        <f>IF(D275="","-",+C321+1)</f>
        <v>2055</v>
      </c>
      <c r="D322" s="471">
        <f t="shared" si="17"/>
        <v>660760.66666665394</v>
      </c>
      <c r="E322" s="515">
        <f t="shared" si="15"/>
        <v>377577.52380952379</v>
      </c>
      <c r="F322" s="471">
        <f t="shared" si="16"/>
        <v>283183.14285713015</v>
      </c>
      <c r="G322" s="950">
        <f t="shared" si="12"/>
        <v>429579.16324203712</v>
      </c>
      <c r="H322" s="953">
        <f t="shared" si="13"/>
        <v>429579.16324203712</v>
      </c>
      <c r="I322" s="512">
        <f t="shared" si="14"/>
        <v>0</v>
      </c>
      <c r="J322" s="512"/>
      <c r="K322" s="649"/>
      <c r="L322" s="518"/>
      <c r="M322" s="649"/>
      <c r="N322" s="518"/>
      <c r="O322" s="518"/>
    </row>
    <row r="323" spans="3:15">
      <c r="C323" s="508">
        <f>IF(D275="","-",+C322+1)</f>
        <v>2056</v>
      </c>
      <c r="D323" s="471">
        <f t="shared" si="17"/>
        <v>283183.14285713015</v>
      </c>
      <c r="E323" s="515">
        <f t="shared" si="15"/>
        <v>283183.14285713015</v>
      </c>
      <c r="F323" s="471">
        <f t="shared" si="16"/>
        <v>0</v>
      </c>
      <c r="G323" s="950">
        <f t="shared" si="12"/>
        <v>298783.63468688389</v>
      </c>
      <c r="H323" s="953">
        <f t="shared" si="13"/>
        <v>298783.63468688389</v>
      </c>
      <c r="I323" s="512">
        <f t="shared" si="14"/>
        <v>0</v>
      </c>
      <c r="J323" s="512"/>
      <c r="K323" s="649"/>
      <c r="L323" s="518"/>
      <c r="M323" s="649"/>
      <c r="N323" s="518"/>
      <c r="O323" s="518"/>
    </row>
    <row r="324" spans="3:15">
      <c r="C324" s="508">
        <f>IF(D275="","-",+C323+1)</f>
        <v>2057</v>
      </c>
      <c r="D324" s="471">
        <f t="shared" si="17"/>
        <v>0</v>
      </c>
      <c r="E324" s="515">
        <f t="shared" si="15"/>
        <v>0</v>
      </c>
      <c r="F324" s="471">
        <f t="shared" si="16"/>
        <v>0</v>
      </c>
      <c r="G324" s="950">
        <f t="shared" si="12"/>
        <v>0</v>
      </c>
      <c r="H324" s="953">
        <f t="shared" si="13"/>
        <v>0</v>
      </c>
      <c r="I324" s="512">
        <f t="shared" si="14"/>
        <v>0</v>
      </c>
      <c r="J324" s="512"/>
      <c r="K324" s="649"/>
      <c r="L324" s="518"/>
      <c r="M324" s="649"/>
      <c r="N324" s="518"/>
      <c r="O324" s="518"/>
    </row>
    <row r="325" spans="3:15">
      <c r="C325" s="508">
        <f>IF(D275="","-",+C324+1)</f>
        <v>2058</v>
      </c>
      <c r="D325" s="471">
        <f t="shared" si="17"/>
        <v>0</v>
      </c>
      <c r="E325" s="515">
        <f t="shared" si="15"/>
        <v>0</v>
      </c>
      <c r="F325" s="471">
        <f t="shared" si="16"/>
        <v>0</v>
      </c>
      <c r="G325" s="950">
        <f t="shared" si="12"/>
        <v>0</v>
      </c>
      <c r="H325" s="953">
        <f t="shared" si="13"/>
        <v>0</v>
      </c>
      <c r="I325" s="512">
        <f t="shared" si="14"/>
        <v>0</v>
      </c>
      <c r="J325" s="512"/>
      <c r="K325" s="649"/>
      <c r="L325" s="518"/>
      <c r="M325" s="649"/>
      <c r="N325" s="518"/>
      <c r="O325" s="518"/>
    </row>
    <row r="326" spans="3:15">
      <c r="C326" s="508">
        <f>IF(D275="","-",+C325+1)</f>
        <v>2059</v>
      </c>
      <c r="D326" s="471">
        <f t="shared" si="17"/>
        <v>0</v>
      </c>
      <c r="E326" s="515">
        <f t="shared" si="15"/>
        <v>0</v>
      </c>
      <c r="F326" s="471">
        <f t="shared" si="16"/>
        <v>0</v>
      </c>
      <c r="G326" s="950">
        <f t="shared" si="12"/>
        <v>0</v>
      </c>
      <c r="H326" s="953">
        <f t="shared" si="13"/>
        <v>0</v>
      </c>
      <c r="I326" s="512">
        <f t="shared" si="14"/>
        <v>0</v>
      </c>
      <c r="J326" s="512"/>
      <c r="K326" s="649"/>
      <c r="L326" s="518"/>
      <c r="M326" s="649"/>
      <c r="N326" s="518"/>
      <c r="O326" s="518"/>
    </row>
    <row r="327" spans="3:15">
      <c r="C327" s="508">
        <f>IF(D275="","-",+C326+1)</f>
        <v>2060</v>
      </c>
      <c r="D327" s="471">
        <f t="shared" si="17"/>
        <v>0</v>
      </c>
      <c r="E327" s="515">
        <f t="shared" si="15"/>
        <v>0</v>
      </c>
      <c r="F327" s="471">
        <f t="shared" si="16"/>
        <v>0</v>
      </c>
      <c r="G327" s="950">
        <f t="shared" si="12"/>
        <v>0</v>
      </c>
      <c r="H327" s="953">
        <f t="shared" si="13"/>
        <v>0</v>
      </c>
      <c r="I327" s="512">
        <f t="shared" si="14"/>
        <v>0</v>
      </c>
      <c r="J327" s="512"/>
      <c r="K327" s="649"/>
      <c r="L327" s="518"/>
      <c r="M327" s="649"/>
      <c r="N327" s="518"/>
      <c r="O327" s="518"/>
    </row>
    <row r="328" spans="3:15">
      <c r="C328" s="508">
        <f>IF(D275="","-",+C327+1)</f>
        <v>2061</v>
      </c>
      <c r="D328" s="471">
        <f t="shared" si="17"/>
        <v>0</v>
      </c>
      <c r="E328" s="515">
        <f t="shared" si="15"/>
        <v>0</v>
      </c>
      <c r="F328" s="471">
        <f t="shared" si="16"/>
        <v>0</v>
      </c>
      <c r="G328" s="950">
        <f t="shared" si="12"/>
        <v>0</v>
      </c>
      <c r="H328" s="953">
        <f t="shared" si="13"/>
        <v>0</v>
      </c>
      <c r="I328" s="512">
        <f t="shared" si="14"/>
        <v>0</v>
      </c>
      <c r="J328" s="512"/>
      <c r="K328" s="649"/>
      <c r="L328" s="518"/>
      <c r="M328" s="649"/>
      <c r="N328" s="518"/>
      <c r="O328" s="518"/>
    </row>
    <row r="329" spans="3:15">
      <c r="C329" s="508">
        <f>IF(D275="","-",+C328+1)</f>
        <v>2062</v>
      </c>
      <c r="D329" s="471">
        <f t="shared" si="17"/>
        <v>0</v>
      </c>
      <c r="E329" s="515">
        <f t="shared" si="15"/>
        <v>0</v>
      </c>
      <c r="F329" s="471">
        <f t="shared" si="16"/>
        <v>0</v>
      </c>
      <c r="G329" s="950">
        <f t="shared" si="12"/>
        <v>0</v>
      </c>
      <c r="H329" s="953">
        <f t="shared" si="13"/>
        <v>0</v>
      </c>
      <c r="I329" s="512">
        <f t="shared" si="14"/>
        <v>0</v>
      </c>
      <c r="J329" s="512"/>
      <c r="K329" s="649"/>
      <c r="L329" s="518"/>
      <c r="M329" s="649"/>
      <c r="N329" s="518"/>
      <c r="O329" s="518"/>
    </row>
    <row r="330" spans="3:15">
      <c r="C330" s="508">
        <f>IF(D275="","-",+C329+1)</f>
        <v>2063</v>
      </c>
      <c r="D330" s="471">
        <f t="shared" si="17"/>
        <v>0</v>
      </c>
      <c r="E330" s="515">
        <f t="shared" si="15"/>
        <v>0</v>
      </c>
      <c r="F330" s="471">
        <f t="shared" si="16"/>
        <v>0</v>
      </c>
      <c r="G330" s="950">
        <f t="shared" si="12"/>
        <v>0</v>
      </c>
      <c r="H330" s="953">
        <f t="shared" si="13"/>
        <v>0</v>
      </c>
      <c r="I330" s="512">
        <f t="shared" si="14"/>
        <v>0</v>
      </c>
      <c r="J330" s="512"/>
      <c r="K330" s="649"/>
      <c r="L330" s="518"/>
      <c r="M330" s="649"/>
      <c r="N330" s="518"/>
      <c r="O330" s="518"/>
    </row>
    <row r="331" spans="3:15">
      <c r="C331" s="508">
        <f>IF(D275="","-",+C330+1)</f>
        <v>2064</v>
      </c>
      <c r="D331" s="471">
        <f t="shared" si="17"/>
        <v>0</v>
      </c>
      <c r="E331" s="515">
        <f t="shared" si="15"/>
        <v>0</v>
      </c>
      <c r="F331" s="471">
        <f t="shared" si="16"/>
        <v>0</v>
      </c>
      <c r="G331" s="950">
        <f t="shared" si="12"/>
        <v>0</v>
      </c>
      <c r="H331" s="953">
        <f t="shared" si="13"/>
        <v>0</v>
      </c>
      <c r="I331" s="512">
        <f t="shared" si="14"/>
        <v>0</v>
      </c>
      <c r="J331" s="512"/>
      <c r="K331" s="649"/>
      <c r="L331" s="518"/>
      <c r="M331" s="649"/>
      <c r="N331" s="518"/>
      <c r="O331" s="518"/>
    </row>
    <row r="332" spans="3:15">
      <c r="C332" s="508">
        <f>IF(D275="","-",+C331+1)</f>
        <v>2065</v>
      </c>
      <c r="D332" s="471">
        <f t="shared" si="17"/>
        <v>0</v>
      </c>
      <c r="E332" s="515">
        <f t="shared" si="15"/>
        <v>0</v>
      </c>
      <c r="F332" s="471">
        <f t="shared" si="16"/>
        <v>0</v>
      </c>
      <c r="G332" s="950">
        <f t="shared" si="12"/>
        <v>0</v>
      </c>
      <c r="H332" s="953">
        <f t="shared" si="13"/>
        <v>0</v>
      </c>
      <c r="I332" s="512">
        <f t="shared" si="14"/>
        <v>0</v>
      </c>
      <c r="J332" s="512"/>
      <c r="K332" s="649"/>
      <c r="L332" s="518"/>
      <c r="M332" s="649"/>
      <c r="N332" s="518"/>
      <c r="O332" s="518"/>
    </row>
    <row r="333" spans="3:15">
      <c r="C333" s="508">
        <f>IF(D275="","-",+C332+1)</f>
        <v>2066</v>
      </c>
      <c r="D333" s="471">
        <f t="shared" si="17"/>
        <v>0</v>
      </c>
      <c r="E333" s="515">
        <f t="shared" si="15"/>
        <v>0</v>
      </c>
      <c r="F333" s="471">
        <f t="shared" si="16"/>
        <v>0</v>
      </c>
      <c r="G333" s="950">
        <f t="shared" si="12"/>
        <v>0</v>
      </c>
      <c r="H333" s="953">
        <f t="shared" si="13"/>
        <v>0</v>
      </c>
      <c r="I333" s="512">
        <f t="shared" si="14"/>
        <v>0</v>
      </c>
      <c r="J333" s="512"/>
      <c r="K333" s="649"/>
      <c r="L333" s="518"/>
      <c r="M333" s="649"/>
      <c r="N333" s="518"/>
      <c r="O333" s="518"/>
    </row>
    <row r="334" spans="3:15">
      <c r="C334" s="508">
        <f>IF(D275="","-",+C333+1)</f>
        <v>2067</v>
      </c>
      <c r="D334" s="471">
        <f t="shared" si="17"/>
        <v>0</v>
      </c>
      <c r="E334" s="515">
        <f t="shared" si="15"/>
        <v>0</v>
      </c>
      <c r="F334" s="471">
        <f t="shared" si="16"/>
        <v>0</v>
      </c>
      <c r="G334" s="950">
        <f t="shared" si="12"/>
        <v>0</v>
      </c>
      <c r="H334" s="953">
        <f t="shared" si="13"/>
        <v>0</v>
      </c>
      <c r="I334" s="512">
        <f t="shared" si="14"/>
        <v>0</v>
      </c>
      <c r="J334" s="512"/>
      <c r="K334" s="649"/>
      <c r="L334" s="518"/>
      <c r="M334" s="649"/>
      <c r="N334" s="518"/>
      <c r="O334" s="518"/>
    </row>
    <row r="335" spans="3:15">
      <c r="C335" s="508">
        <f>IF(D275="","-",+C334+1)</f>
        <v>2068</v>
      </c>
      <c r="D335" s="471">
        <f t="shared" si="17"/>
        <v>0</v>
      </c>
      <c r="E335" s="515">
        <f t="shared" si="15"/>
        <v>0</v>
      </c>
      <c r="F335" s="471">
        <f t="shared" si="16"/>
        <v>0</v>
      </c>
      <c r="G335" s="950">
        <f t="shared" si="12"/>
        <v>0</v>
      </c>
      <c r="H335" s="953">
        <f t="shared" si="13"/>
        <v>0</v>
      </c>
      <c r="I335" s="512">
        <f t="shared" si="14"/>
        <v>0</v>
      </c>
      <c r="J335" s="512"/>
      <c r="K335" s="649"/>
      <c r="L335" s="518"/>
      <c r="M335" s="649"/>
      <c r="N335" s="518"/>
      <c r="O335" s="518"/>
    </row>
    <row r="336" spans="3:15">
      <c r="C336" s="508">
        <f>IF(D275="","-",+C335+1)</f>
        <v>2069</v>
      </c>
      <c r="D336" s="471">
        <f t="shared" si="17"/>
        <v>0</v>
      </c>
      <c r="E336" s="515">
        <f t="shared" si="15"/>
        <v>0</v>
      </c>
      <c r="F336" s="471">
        <f t="shared" si="16"/>
        <v>0</v>
      </c>
      <c r="G336" s="950">
        <f t="shared" si="12"/>
        <v>0</v>
      </c>
      <c r="H336" s="953">
        <f t="shared" si="13"/>
        <v>0</v>
      </c>
      <c r="I336" s="512">
        <f t="shared" si="14"/>
        <v>0</v>
      </c>
      <c r="J336" s="512"/>
      <c r="K336" s="649"/>
      <c r="L336" s="518"/>
      <c r="M336" s="649"/>
      <c r="N336" s="518"/>
      <c r="O336" s="518"/>
    </row>
    <row r="337" spans="1:16">
      <c r="C337" s="508">
        <f>IF(D275="","-",+C336+1)</f>
        <v>2070</v>
      </c>
      <c r="D337" s="471">
        <f t="shared" si="17"/>
        <v>0</v>
      </c>
      <c r="E337" s="515">
        <f t="shared" si="15"/>
        <v>0</v>
      </c>
      <c r="F337" s="471">
        <f t="shared" si="16"/>
        <v>0</v>
      </c>
      <c r="G337" s="950">
        <f t="shared" si="12"/>
        <v>0</v>
      </c>
      <c r="H337" s="953">
        <f t="shared" si="13"/>
        <v>0</v>
      </c>
      <c r="I337" s="512">
        <f t="shared" si="14"/>
        <v>0</v>
      </c>
      <c r="J337" s="512"/>
      <c r="K337" s="649"/>
      <c r="L337" s="518"/>
      <c r="M337" s="649"/>
      <c r="N337" s="518"/>
      <c r="O337" s="518"/>
    </row>
    <row r="338" spans="1:16">
      <c r="C338" s="508">
        <f>IF(D275="","-",+C337+1)</f>
        <v>2071</v>
      </c>
      <c r="D338" s="471">
        <f t="shared" si="17"/>
        <v>0</v>
      </c>
      <c r="E338" s="515">
        <f t="shared" si="15"/>
        <v>0</v>
      </c>
      <c r="F338" s="471">
        <f t="shared" si="16"/>
        <v>0</v>
      </c>
      <c r="G338" s="950">
        <f t="shared" si="12"/>
        <v>0</v>
      </c>
      <c r="H338" s="953">
        <f t="shared" si="13"/>
        <v>0</v>
      </c>
      <c r="I338" s="512">
        <f t="shared" si="14"/>
        <v>0</v>
      </c>
      <c r="J338" s="512"/>
      <c r="K338" s="649"/>
      <c r="L338" s="518"/>
      <c r="M338" s="649"/>
      <c r="N338" s="518"/>
      <c r="O338" s="518"/>
    </row>
    <row r="339" spans="1:16">
      <c r="C339" s="508">
        <f>IF(D275="","-",+C338+1)</f>
        <v>2072</v>
      </c>
      <c r="D339" s="471">
        <f t="shared" si="17"/>
        <v>0</v>
      </c>
      <c r="E339" s="515">
        <f t="shared" si="15"/>
        <v>0</v>
      </c>
      <c r="F339" s="471">
        <f t="shared" si="16"/>
        <v>0</v>
      </c>
      <c r="G339" s="950">
        <f t="shared" si="12"/>
        <v>0</v>
      </c>
      <c r="H339" s="953">
        <f t="shared" si="13"/>
        <v>0</v>
      </c>
      <c r="I339" s="512">
        <f t="shared" si="14"/>
        <v>0</v>
      </c>
      <c r="J339" s="512"/>
      <c r="K339" s="649"/>
      <c r="L339" s="518"/>
      <c r="M339" s="649"/>
      <c r="N339" s="518"/>
      <c r="O339" s="518"/>
    </row>
    <row r="340" spans="1:16" ht="13.5" thickBot="1">
      <c r="C340" s="520">
        <f>IF(D275="","-",+C339+1)</f>
        <v>2073</v>
      </c>
      <c r="D340" s="521">
        <f t="shared" si="17"/>
        <v>0</v>
      </c>
      <c r="E340" s="522">
        <f t="shared" si="15"/>
        <v>0</v>
      </c>
      <c r="F340" s="521">
        <f t="shared" si="16"/>
        <v>0</v>
      </c>
      <c r="G340" s="960">
        <f t="shared" si="12"/>
        <v>0</v>
      </c>
      <c r="H340" s="960">
        <f t="shared" si="13"/>
        <v>0</v>
      </c>
      <c r="I340" s="524">
        <f t="shared" si="14"/>
        <v>0</v>
      </c>
      <c r="J340" s="512"/>
      <c r="K340" s="650"/>
      <c r="L340" s="526"/>
      <c r="M340" s="650"/>
      <c r="N340" s="526"/>
      <c r="O340" s="526"/>
    </row>
    <row r="341" spans="1:16">
      <c r="C341" s="471" t="s">
        <v>288</v>
      </c>
      <c r="D341" s="931"/>
      <c r="E341" s="931">
        <f>SUM(E281:E340)</f>
        <v>15858256</v>
      </c>
      <c r="F341" s="931"/>
      <c r="G341" s="931">
        <f>SUM(G281:G340)</f>
        <v>53861054.097281724</v>
      </c>
      <c r="H341" s="931">
        <f>SUM(H281:H340)</f>
        <v>53861054.097281724</v>
      </c>
      <c r="I341" s="931">
        <f>SUM(I281:I340)</f>
        <v>0</v>
      </c>
      <c r="J341" s="931"/>
      <c r="K341" s="931"/>
      <c r="L341" s="931"/>
      <c r="M341" s="931"/>
      <c r="N341" s="931"/>
      <c r="O341" s="4"/>
    </row>
    <row r="342" spans="1:16">
      <c r="D342" s="78"/>
      <c r="E342" s="4"/>
      <c r="F342" s="4"/>
      <c r="G342" s="4"/>
      <c r="H342" s="930"/>
      <c r="I342" s="930"/>
      <c r="J342" s="931"/>
      <c r="K342" s="930"/>
      <c r="L342" s="930"/>
      <c r="M342" s="930"/>
      <c r="N342" s="930"/>
      <c r="O342" s="4"/>
    </row>
    <row r="343" spans="1:16">
      <c r="C343" s="4" t="s">
        <v>600</v>
      </c>
      <c r="D343" s="78"/>
      <c r="E343" s="4"/>
      <c r="F343" s="4"/>
      <c r="G343" s="4"/>
      <c r="H343" s="930"/>
      <c r="I343" s="930"/>
      <c r="J343" s="931"/>
      <c r="K343" s="930"/>
      <c r="L343" s="930"/>
      <c r="M343" s="930"/>
      <c r="N343" s="930"/>
      <c r="O343" s="4"/>
    </row>
    <row r="344" spans="1:16">
      <c r="D344" s="78"/>
      <c r="E344" s="4"/>
      <c r="F344" s="4"/>
      <c r="G344" s="4"/>
      <c r="H344" s="930"/>
      <c r="I344" s="930"/>
      <c r="J344" s="931"/>
      <c r="K344" s="930"/>
      <c r="L344" s="930"/>
      <c r="M344" s="930"/>
      <c r="N344" s="930"/>
      <c r="O344" s="4"/>
    </row>
    <row r="345" spans="1:16">
      <c r="C345" s="4" t="s">
        <v>601</v>
      </c>
      <c r="D345" s="471"/>
      <c r="E345" s="471"/>
      <c r="F345" s="471"/>
      <c r="G345" s="931"/>
      <c r="H345" s="931"/>
      <c r="I345" s="473"/>
      <c r="J345" s="473"/>
      <c r="K345" s="473"/>
      <c r="L345" s="473"/>
      <c r="M345" s="473"/>
      <c r="N345" s="473"/>
      <c r="O345" s="4"/>
    </row>
    <row r="346" spans="1:16">
      <c r="C346" s="4" t="s">
        <v>476</v>
      </c>
      <c r="D346" s="471"/>
      <c r="E346" s="471"/>
      <c r="F346" s="471"/>
      <c r="G346" s="931"/>
      <c r="H346" s="931"/>
      <c r="I346" s="473"/>
      <c r="J346" s="473"/>
      <c r="K346" s="473"/>
      <c r="L346" s="473"/>
      <c r="M346" s="473"/>
      <c r="N346" s="473"/>
      <c r="O346" s="4"/>
    </row>
    <row r="347" spans="1:16">
      <c r="C347" s="4" t="s">
        <v>289</v>
      </c>
      <c r="D347" s="471"/>
      <c r="E347" s="471"/>
      <c r="F347" s="471"/>
      <c r="G347" s="931"/>
      <c r="H347" s="931"/>
      <c r="I347" s="473"/>
      <c r="J347" s="473"/>
      <c r="K347" s="473"/>
      <c r="L347" s="473"/>
      <c r="M347" s="473"/>
      <c r="N347" s="473"/>
      <c r="O347" s="4"/>
    </row>
    <row r="348" spans="1:16">
      <c r="C348" s="472"/>
      <c r="D348" s="471"/>
      <c r="E348" s="471"/>
      <c r="F348" s="471"/>
      <c r="G348" s="931"/>
      <c r="H348" s="931"/>
      <c r="I348" s="473"/>
      <c r="J348" s="473"/>
      <c r="K348" s="473"/>
      <c r="L348" s="473"/>
      <c r="M348" s="473"/>
      <c r="N348" s="473"/>
      <c r="O348" s="4"/>
    </row>
    <row r="349" spans="1:16">
      <c r="C349" s="1303" t="s">
        <v>460</v>
      </c>
      <c r="D349" s="1303"/>
      <c r="E349" s="1303"/>
      <c r="F349" s="1303"/>
      <c r="G349" s="1303"/>
      <c r="H349" s="1303"/>
      <c r="I349" s="1303"/>
      <c r="J349" s="1303"/>
      <c r="K349" s="1303"/>
      <c r="L349" s="1303"/>
      <c r="M349" s="1303"/>
      <c r="N349" s="1303"/>
      <c r="O349" s="1303"/>
    </row>
    <row r="350" spans="1:16">
      <c r="C350" s="1303"/>
      <c r="D350" s="1303"/>
      <c r="E350" s="1303"/>
      <c r="F350" s="1303"/>
      <c r="G350" s="1303"/>
      <c r="H350" s="1303"/>
      <c r="I350" s="1303"/>
      <c r="J350" s="1303"/>
      <c r="K350" s="1303"/>
      <c r="L350" s="1303"/>
      <c r="M350" s="1303"/>
      <c r="N350" s="1303"/>
      <c r="O350" s="1303"/>
    </row>
    <row r="351" spans="1:16" ht="20.25">
      <c r="A351" s="413" t="s">
        <v>927</v>
      </c>
      <c r="B351" s="4"/>
      <c r="C351" s="4"/>
      <c r="D351" s="78"/>
      <c r="E351" s="4"/>
      <c r="F351" s="80"/>
      <c r="G351" s="4"/>
      <c r="H351" s="930"/>
      <c r="K351" s="11"/>
      <c r="L351" s="11"/>
      <c r="M351" s="11"/>
      <c r="N351" s="11" t="str">
        <f>"Page "&amp;SUM(P$6:P351)&amp;" of "</f>
        <v xml:space="preserve">Page 5 of </v>
      </c>
      <c r="O351" s="414">
        <f>COUNT(P$6:P$59606)</f>
        <v>14</v>
      </c>
      <c r="P351" s="4">
        <v>1</v>
      </c>
    </row>
    <row r="352" spans="1:16">
      <c r="B352" s="4"/>
      <c r="C352" s="4"/>
      <c r="D352" s="78"/>
      <c r="E352" s="4"/>
      <c r="F352" s="4"/>
      <c r="G352" s="4"/>
      <c r="H352" s="930"/>
      <c r="I352" s="4"/>
      <c r="J352" s="4"/>
      <c r="K352" s="4"/>
      <c r="L352" s="4"/>
      <c r="M352" s="4"/>
      <c r="N352" s="4"/>
      <c r="O352" s="4"/>
    </row>
    <row r="353" spans="1:15" ht="18">
      <c r="B353" s="415" t="s">
        <v>174</v>
      </c>
      <c r="C353" s="474" t="s">
        <v>290</v>
      </c>
      <c r="D353" s="78"/>
      <c r="E353" s="4"/>
      <c r="F353" s="4"/>
      <c r="G353" s="4"/>
      <c r="H353" s="930"/>
      <c r="I353" s="930"/>
      <c r="J353" s="931"/>
      <c r="K353" s="930"/>
      <c r="L353" s="930"/>
      <c r="M353" s="930"/>
      <c r="N353" s="930"/>
      <c r="O353" s="4"/>
    </row>
    <row r="354" spans="1:15" ht="18.75">
      <c r="B354" s="415"/>
      <c r="C354" s="13"/>
      <c r="D354" s="78"/>
      <c r="E354" s="4"/>
      <c r="F354" s="4"/>
      <c r="G354" s="4"/>
      <c r="H354" s="930"/>
      <c r="I354" s="930"/>
      <c r="J354" s="931"/>
      <c r="K354" s="930"/>
      <c r="L354" s="930"/>
      <c r="M354" s="930"/>
      <c r="N354" s="930"/>
      <c r="O354" s="4"/>
    </row>
    <row r="355" spans="1:15" ht="18.75">
      <c r="B355" s="415"/>
      <c r="C355" s="13" t="s">
        <v>291</v>
      </c>
      <c r="D355" s="78"/>
      <c r="E355" s="4"/>
      <c r="F355" s="4"/>
      <c r="G355" s="4"/>
      <c r="H355" s="930"/>
      <c r="I355" s="930"/>
      <c r="J355" s="931"/>
      <c r="K355" s="930"/>
      <c r="L355" s="930"/>
      <c r="M355" s="930"/>
      <c r="N355" s="930"/>
      <c r="O355" s="4"/>
    </row>
    <row r="356" spans="1:15" ht="15.75" thickBot="1">
      <c r="C356" s="250"/>
      <c r="D356" s="78"/>
      <c r="E356" s="4"/>
      <c r="F356" s="4"/>
      <c r="G356" s="4"/>
      <c r="H356" s="930"/>
      <c r="I356" s="930"/>
      <c r="J356" s="931"/>
      <c r="K356" s="930"/>
      <c r="L356" s="930"/>
      <c r="M356" s="930"/>
      <c r="N356" s="930"/>
      <c r="O356" s="4"/>
    </row>
    <row r="357" spans="1:15" ht="15.75">
      <c r="C357" s="416" t="s">
        <v>292</v>
      </c>
      <c r="D357" s="78"/>
      <c r="E357" s="4"/>
      <c r="F357" s="4"/>
      <c r="G357" s="932"/>
      <c r="H357" s="4" t="s">
        <v>271</v>
      </c>
      <c r="I357" s="4"/>
      <c r="J357" s="4"/>
      <c r="K357" s="475" t="s">
        <v>296</v>
      </c>
      <c r="L357" s="476"/>
      <c r="M357" s="477"/>
      <c r="N357" s="933">
        <f>VLOOKUP(I363,C370:O429,5)</f>
        <v>302022.72392621957</v>
      </c>
      <c r="O357" s="4"/>
    </row>
    <row r="358" spans="1:15" ht="15.75">
      <c r="C358" s="416"/>
      <c r="D358" s="78"/>
      <c r="E358" s="4"/>
      <c r="F358" s="4"/>
      <c r="G358" s="4"/>
      <c r="H358" s="934"/>
      <c r="I358" s="934"/>
      <c r="J358" s="935"/>
      <c r="K358" s="480" t="s">
        <v>297</v>
      </c>
      <c r="L358" s="936"/>
      <c r="M358" s="4"/>
      <c r="N358" s="937">
        <f>VLOOKUP(I363,C370:O429,6)</f>
        <v>302022.72392621957</v>
      </c>
      <c r="O358" s="4"/>
    </row>
    <row r="359" spans="1:15" ht="13.5" thickBot="1">
      <c r="C359" s="481" t="s">
        <v>293</v>
      </c>
      <c r="D359" s="1304" t="s">
        <v>932</v>
      </c>
      <c r="E359" s="1304"/>
      <c r="F359" s="1304"/>
      <c r="G359" s="1304"/>
      <c r="H359" s="930"/>
      <c r="I359" s="930"/>
      <c r="J359" s="931"/>
      <c r="K359" s="938" t="s">
        <v>450</v>
      </c>
      <c r="L359" s="939"/>
      <c r="M359" s="939"/>
      <c r="N359" s="940">
        <f>+N358-N357</f>
        <v>0</v>
      </c>
      <c r="O359" s="4"/>
    </row>
    <row r="360" spans="1:15">
      <c r="C360" s="483"/>
      <c r="D360" s="484"/>
      <c r="E360" s="471"/>
      <c r="F360" s="471"/>
      <c r="G360" s="485"/>
      <c r="H360" s="930"/>
      <c r="I360" s="930"/>
      <c r="J360" s="931"/>
      <c r="K360" s="930"/>
      <c r="L360" s="930"/>
      <c r="M360" s="930"/>
      <c r="N360" s="930"/>
      <c r="O360" s="4"/>
    </row>
    <row r="361" spans="1:15" ht="13.5" thickBot="1">
      <c r="C361" s="483"/>
      <c r="D361" s="4"/>
      <c r="E361" s="485"/>
      <c r="F361" s="485"/>
      <c r="G361" s="485"/>
      <c r="H361" s="485"/>
      <c r="I361" s="485"/>
      <c r="J361" s="485"/>
      <c r="K361" s="485"/>
      <c r="L361" s="485"/>
      <c r="M361" s="485"/>
      <c r="N361" s="485"/>
      <c r="O361" s="4"/>
    </row>
    <row r="362" spans="1:15" ht="13.5" thickBot="1">
      <c r="C362" s="487" t="s">
        <v>294</v>
      </c>
      <c r="D362" s="488"/>
      <c r="E362" s="488"/>
      <c r="F362" s="488"/>
      <c r="G362" s="488"/>
      <c r="H362" s="488"/>
      <c r="I362" s="489"/>
      <c r="K362" s="4"/>
      <c r="L362" s="4"/>
      <c r="M362" s="4"/>
      <c r="N362" s="4"/>
      <c r="O362" s="4"/>
    </row>
    <row r="363" spans="1:15" ht="15">
      <c r="C363" s="490" t="s">
        <v>272</v>
      </c>
      <c r="D363" s="941">
        <v>2419910</v>
      </c>
      <c r="E363" s="4" t="s">
        <v>273</v>
      </c>
      <c r="G363" s="78"/>
      <c r="H363" s="78"/>
      <c r="I363" s="491">
        <v>2018</v>
      </c>
      <c r="J363" s="134"/>
      <c r="K363" s="1302" t="s">
        <v>459</v>
      </c>
      <c r="L363" s="1302"/>
      <c r="M363" s="1302"/>
      <c r="N363" s="1302"/>
      <c r="O363" s="1302"/>
    </row>
    <row r="364" spans="1:15">
      <c r="C364" s="490" t="s">
        <v>275</v>
      </c>
      <c r="D364" s="644">
        <v>2014</v>
      </c>
      <c r="E364" s="490" t="s">
        <v>276</v>
      </c>
      <c r="F364" s="78"/>
      <c r="H364"/>
      <c r="I364" s="647">
        <f>IF(G357="",0,$F$15)</f>
        <v>0</v>
      </c>
      <c r="J364" s="492"/>
      <c r="K364" s="931" t="s">
        <v>459</v>
      </c>
    </row>
    <row r="365" spans="1:15">
      <c r="C365" s="490" t="s">
        <v>277</v>
      </c>
      <c r="D365" s="942">
        <v>12</v>
      </c>
      <c r="E365" s="490" t="s">
        <v>278</v>
      </c>
      <c r="F365" s="78"/>
      <c r="H365"/>
      <c r="I365" s="493">
        <f>$G$70</f>
        <v>0.11017952320434825</v>
      </c>
      <c r="J365" s="80"/>
      <c r="K365" t="str">
        <f>"          INPUT PROJECTED ARR (WITH &amp; WITHOUT INCENTIVES) FROM EACH PRIOR YEAR"</f>
        <v xml:space="preserve">          INPUT PROJECTED ARR (WITH &amp; WITHOUT INCENTIVES) FROM EACH PRIOR YEAR</v>
      </c>
    </row>
    <row r="366" spans="1:15">
      <c r="C366" s="490" t="s">
        <v>279</v>
      </c>
      <c r="D366" s="494">
        <f>G$79</f>
        <v>42</v>
      </c>
      <c r="E366" s="490" t="s">
        <v>280</v>
      </c>
      <c r="F366" s="78"/>
      <c r="H366"/>
      <c r="I366" s="493">
        <f>IF(G357="",I365,$G$67)</f>
        <v>0.11017952320434825</v>
      </c>
      <c r="J366" s="80"/>
      <c r="K366" t="s">
        <v>357</v>
      </c>
    </row>
    <row r="367" spans="1:15" ht="13.5" thickBot="1">
      <c r="C367" s="490" t="s">
        <v>281</v>
      </c>
      <c r="D367" s="646" t="s">
        <v>929</v>
      </c>
      <c r="E367" s="495" t="s">
        <v>282</v>
      </c>
      <c r="F367" s="496"/>
      <c r="G367" s="497"/>
      <c r="H367" s="497"/>
      <c r="I367" s="940">
        <f>IF(D363=0,0,D363/D366)</f>
        <v>57616.904761904763</v>
      </c>
      <c r="J367" s="931"/>
      <c r="K367" s="931" t="s">
        <v>363</v>
      </c>
      <c r="L367" s="931"/>
      <c r="M367" s="931"/>
      <c r="N367" s="931"/>
      <c r="O367" s="4"/>
    </row>
    <row r="368" spans="1:15" ht="51">
      <c r="A368" s="12"/>
      <c r="B368" s="12"/>
      <c r="C368" s="498" t="s">
        <v>272</v>
      </c>
      <c r="D368" s="943" t="s">
        <v>283</v>
      </c>
      <c r="E368" s="944" t="s">
        <v>284</v>
      </c>
      <c r="F368" s="943" t="s">
        <v>285</v>
      </c>
      <c r="G368" s="944" t="s">
        <v>356</v>
      </c>
      <c r="H368" s="945" t="s">
        <v>356</v>
      </c>
      <c r="I368" s="498" t="s">
        <v>295</v>
      </c>
      <c r="J368" s="502"/>
      <c r="K368" s="944" t="s">
        <v>365</v>
      </c>
      <c r="L368" s="946"/>
      <c r="M368" s="944" t="s">
        <v>365</v>
      </c>
      <c r="N368" s="946"/>
      <c r="O368" s="946"/>
    </row>
    <row r="369" spans="3:15" ht="13.5" thickBot="1">
      <c r="C369" s="503" t="s">
        <v>177</v>
      </c>
      <c r="D369" s="504" t="s">
        <v>178</v>
      </c>
      <c r="E369" s="503" t="s">
        <v>37</v>
      </c>
      <c r="F369" s="504" t="s">
        <v>178</v>
      </c>
      <c r="G369" s="947" t="s">
        <v>298</v>
      </c>
      <c r="H369" s="948" t="s">
        <v>300</v>
      </c>
      <c r="I369" s="503" t="s">
        <v>389</v>
      </c>
      <c r="J369" s="507"/>
      <c r="K369" s="947" t="s">
        <v>287</v>
      </c>
      <c r="L369" s="949"/>
      <c r="M369" s="947" t="s">
        <v>300</v>
      </c>
      <c r="N369" s="949"/>
      <c r="O369" s="949"/>
    </row>
    <row r="370" spans="3:15">
      <c r="C370" s="508">
        <f>IF(D364= "","-",D364)</f>
        <v>2014</v>
      </c>
      <c r="D370" s="471">
        <f>+D363</f>
        <v>2419910</v>
      </c>
      <c r="E370" s="950">
        <f>+I367/12*(12-D365)</f>
        <v>0</v>
      </c>
      <c r="F370" s="471">
        <f>+D370-E370</f>
        <v>2419910</v>
      </c>
      <c r="G370" s="951">
        <f>+$I$365*((D370+F370)/2)+E370</f>
        <v>266624.52999743435</v>
      </c>
      <c r="H370" s="952">
        <f>+$I$366*((D370+F370)/2)+E370</f>
        <v>266624.52999743435</v>
      </c>
      <c r="I370" s="512">
        <f>+H370-G370</f>
        <v>0</v>
      </c>
      <c r="J370" s="512"/>
      <c r="K370" s="648">
        <v>222712</v>
      </c>
      <c r="L370" s="514"/>
      <c r="M370" s="648">
        <v>222712</v>
      </c>
      <c r="N370" s="514"/>
      <c r="O370" s="514"/>
    </row>
    <row r="371" spans="3:15">
      <c r="C371" s="508">
        <f>IF(D364="","-",+C370+1)</f>
        <v>2015</v>
      </c>
      <c r="D371" s="471">
        <f>F370</f>
        <v>2419910</v>
      </c>
      <c r="E371" s="515">
        <f>IF(D371&gt;$I$367,$I$367,D371)</f>
        <v>57616.904761904763</v>
      </c>
      <c r="F371" s="471">
        <f>+D371-E371</f>
        <v>2362293.0952380951</v>
      </c>
      <c r="G371" s="950">
        <f t="shared" ref="G371:G429" si="18">+$I$365*((D371+F371)/2)+E371</f>
        <v>321067.33321175061</v>
      </c>
      <c r="H371" s="953">
        <f t="shared" ref="H371:H429" si="19">+$I$366*((D371+F371)/2)+E371</f>
        <v>321067.33321175061</v>
      </c>
      <c r="I371" s="512">
        <f t="shared" ref="I371:I429" si="20">+H371-G371</f>
        <v>0</v>
      </c>
      <c r="J371" s="512"/>
      <c r="K371" s="649">
        <v>317491</v>
      </c>
      <c r="L371" s="518"/>
      <c r="M371" s="649">
        <v>317491</v>
      </c>
      <c r="N371" s="518"/>
      <c r="O371" s="518"/>
    </row>
    <row r="372" spans="3:15">
      <c r="C372" s="508">
        <f>IF(D364="","-",+C371+1)</f>
        <v>2016</v>
      </c>
      <c r="D372" s="471">
        <f>F371</f>
        <v>2362293.0952380951</v>
      </c>
      <c r="E372" s="515">
        <f t="shared" ref="E372:E429" si="21">IF(D372&gt;$I$367,$I$367,D372)</f>
        <v>57616.904761904763</v>
      </c>
      <c r="F372" s="471">
        <f t="shared" ref="F372:F429" si="22">+D372-E372</f>
        <v>2304676.1904761903</v>
      </c>
      <c r="G372" s="950">
        <f t="shared" si="18"/>
        <v>314719.13011657359</v>
      </c>
      <c r="H372" s="953">
        <f t="shared" si="19"/>
        <v>314719.13011657359</v>
      </c>
      <c r="I372" s="512">
        <f t="shared" si="20"/>
        <v>0</v>
      </c>
      <c r="J372" s="512"/>
      <c r="K372" s="649">
        <v>303455</v>
      </c>
      <c r="L372" s="963"/>
      <c r="M372" s="649">
        <v>303455</v>
      </c>
      <c r="N372" s="518"/>
      <c r="O372" s="518"/>
    </row>
    <row r="373" spans="3:15">
      <c r="C373" s="508">
        <f>IF(D364="","-",+C372+1)</f>
        <v>2017</v>
      </c>
      <c r="D373" s="471">
        <f t="shared" ref="D373:D429" si="23">F372</f>
        <v>2304676.1904761903</v>
      </c>
      <c r="E373" s="515">
        <f t="shared" si="21"/>
        <v>57616.904761904763</v>
      </c>
      <c r="F373" s="471">
        <f t="shared" si="22"/>
        <v>2247059.2857142854</v>
      </c>
      <c r="G373" s="950">
        <f t="shared" si="18"/>
        <v>308370.92702139658</v>
      </c>
      <c r="H373" s="953">
        <f t="shared" si="19"/>
        <v>308370.92702139658</v>
      </c>
      <c r="I373" s="512">
        <f t="shared" si="20"/>
        <v>0</v>
      </c>
      <c r="J373" s="512"/>
      <c r="K373" s="649">
        <v>317491</v>
      </c>
      <c r="L373" s="518"/>
      <c r="M373" s="649">
        <v>317491</v>
      </c>
      <c r="N373" s="518"/>
      <c r="O373" s="518"/>
    </row>
    <row r="374" spans="3:15">
      <c r="C374" s="954">
        <f>IF(D364="","-",+C373+1)</f>
        <v>2018</v>
      </c>
      <c r="D374" s="955">
        <f t="shared" si="23"/>
        <v>2247059.2857142854</v>
      </c>
      <c r="E374" s="956">
        <f t="shared" si="21"/>
        <v>57616.904761904763</v>
      </c>
      <c r="F374" s="955">
        <f t="shared" si="22"/>
        <v>2189442.3809523806</v>
      </c>
      <c r="G374" s="957">
        <f t="shared" si="18"/>
        <v>302022.72392621957</v>
      </c>
      <c r="H374" s="958">
        <f t="shared" si="19"/>
        <v>302022.72392621957</v>
      </c>
      <c r="I374" s="964">
        <f t="shared" si="20"/>
        <v>0</v>
      </c>
      <c r="J374" s="964"/>
      <c r="K374" s="649"/>
      <c r="L374" s="518"/>
      <c r="M374" s="649"/>
      <c r="N374" s="518"/>
      <c r="O374" s="518"/>
    </row>
    <row r="375" spans="3:15">
      <c r="C375" s="508">
        <f>IF(D364="","-",+C374+1)</f>
        <v>2019</v>
      </c>
      <c r="D375" s="471">
        <f t="shared" si="23"/>
        <v>2189442.3809523806</v>
      </c>
      <c r="E375" s="515">
        <f t="shared" si="21"/>
        <v>57616.904761904763</v>
      </c>
      <c r="F375" s="471">
        <f t="shared" si="22"/>
        <v>2131825.4761904757</v>
      </c>
      <c r="G375" s="950">
        <f t="shared" si="18"/>
        <v>295674.52083104255</v>
      </c>
      <c r="H375" s="953">
        <f t="shared" si="19"/>
        <v>295674.52083104255</v>
      </c>
      <c r="I375" s="512">
        <f t="shared" si="20"/>
        <v>0</v>
      </c>
      <c r="J375" s="512"/>
      <c r="K375" s="649"/>
      <c r="L375" s="518"/>
      <c r="M375" s="649"/>
      <c r="N375" s="518"/>
      <c r="O375" s="518"/>
    </row>
    <row r="376" spans="3:15">
      <c r="C376" s="508">
        <f>IF(D364="","-",+C375+1)</f>
        <v>2020</v>
      </c>
      <c r="D376" s="471">
        <f t="shared" si="23"/>
        <v>2131825.4761904757</v>
      </c>
      <c r="E376" s="515">
        <f t="shared" si="21"/>
        <v>57616.904761904763</v>
      </c>
      <c r="F376" s="471">
        <f t="shared" si="22"/>
        <v>2074208.5714285709</v>
      </c>
      <c r="G376" s="950">
        <f t="shared" si="18"/>
        <v>289326.31773586554</v>
      </c>
      <c r="H376" s="953">
        <f t="shared" si="19"/>
        <v>289326.31773586554</v>
      </c>
      <c r="I376" s="512">
        <f t="shared" si="20"/>
        <v>0</v>
      </c>
      <c r="J376" s="512"/>
      <c r="K376" s="649"/>
      <c r="L376" s="518"/>
      <c r="M376" s="649"/>
      <c r="N376" s="518"/>
      <c r="O376" s="518"/>
    </row>
    <row r="377" spans="3:15">
      <c r="C377" s="508">
        <f>IF(D364="","-",+C376+1)</f>
        <v>2021</v>
      </c>
      <c r="D377" s="471">
        <f t="shared" si="23"/>
        <v>2074208.5714285709</v>
      </c>
      <c r="E377" s="515">
        <f t="shared" si="21"/>
        <v>57616.904761904763</v>
      </c>
      <c r="F377" s="471">
        <f t="shared" si="22"/>
        <v>2016591.666666666</v>
      </c>
      <c r="G377" s="950">
        <f t="shared" si="18"/>
        <v>282978.11464068852</v>
      </c>
      <c r="H377" s="953">
        <f t="shared" si="19"/>
        <v>282978.11464068852</v>
      </c>
      <c r="I377" s="512">
        <f t="shared" si="20"/>
        <v>0</v>
      </c>
      <c r="J377" s="512"/>
      <c r="K377" s="649"/>
      <c r="L377" s="518"/>
      <c r="M377" s="649"/>
      <c r="N377" s="518"/>
      <c r="O377" s="518"/>
    </row>
    <row r="378" spans="3:15">
      <c r="C378" s="508">
        <f>IF(D364="","-",+C377+1)</f>
        <v>2022</v>
      </c>
      <c r="D378" s="471">
        <f t="shared" si="23"/>
        <v>2016591.666666666</v>
      </c>
      <c r="E378" s="515">
        <f t="shared" si="21"/>
        <v>57616.904761904763</v>
      </c>
      <c r="F378" s="471">
        <f t="shared" si="22"/>
        <v>1958974.7619047612</v>
      </c>
      <c r="G378" s="950">
        <f t="shared" si="18"/>
        <v>276629.91154551145</v>
      </c>
      <c r="H378" s="953">
        <f t="shared" si="19"/>
        <v>276629.91154551145</v>
      </c>
      <c r="I378" s="512">
        <f t="shared" si="20"/>
        <v>0</v>
      </c>
      <c r="J378" s="512"/>
      <c r="K378" s="649"/>
      <c r="L378" s="518"/>
      <c r="M378" s="649"/>
      <c r="N378" s="518"/>
      <c r="O378" s="518"/>
    </row>
    <row r="379" spans="3:15">
      <c r="C379" s="508">
        <f>IF(D364="","-",+C378+1)</f>
        <v>2023</v>
      </c>
      <c r="D379" s="471">
        <f t="shared" si="23"/>
        <v>1958974.7619047612</v>
      </c>
      <c r="E379" s="515">
        <f t="shared" si="21"/>
        <v>57616.904761904763</v>
      </c>
      <c r="F379" s="471">
        <f t="shared" si="22"/>
        <v>1901357.8571428563</v>
      </c>
      <c r="G379" s="950">
        <f t="shared" si="18"/>
        <v>270281.7084503345</v>
      </c>
      <c r="H379" s="953">
        <f t="shared" si="19"/>
        <v>270281.7084503345</v>
      </c>
      <c r="I379" s="512">
        <f t="shared" si="20"/>
        <v>0</v>
      </c>
      <c r="J379" s="512"/>
      <c r="K379" s="649"/>
      <c r="L379" s="518"/>
      <c r="M379" s="649"/>
      <c r="N379" s="518"/>
      <c r="O379" s="518"/>
    </row>
    <row r="380" spans="3:15">
      <c r="C380" s="508">
        <f>IF(D364="","-",+C379+1)</f>
        <v>2024</v>
      </c>
      <c r="D380" s="471">
        <f t="shared" si="23"/>
        <v>1901357.8571428563</v>
      </c>
      <c r="E380" s="515">
        <f t="shared" si="21"/>
        <v>57616.904761904763</v>
      </c>
      <c r="F380" s="471">
        <f t="shared" si="22"/>
        <v>1843740.9523809515</v>
      </c>
      <c r="G380" s="950">
        <f t="shared" si="18"/>
        <v>263933.50535515742</v>
      </c>
      <c r="H380" s="953">
        <f t="shared" si="19"/>
        <v>263933.50535515742</v>
      </c>
      <c r="I380" s="512">
        <f t="shared" si="20"/>
        <v>0</v>
      </c>
      <c r="J380" s="512"/>
      <c r="K380" s="649"/>
      <c r="L380" s="518"/>
      <c r="M380" s="649"/>
      <c r="N380" s="518"/>
      <c r="O380" s="518"/>
    </row>
    <row r="381" spans="3:15">
      <c r="C381" s="508">
        <f>IF(D364="","-",+C380+1)</f>
        <v>2025</v>
      </c>
      <c r="D381" s="471">
        <f t="shared" si="23"/>
        <v>1843740.9523809515</v>
      </c>
      <c r="E381" s="515">
        <f t="shared" si="21"/>
        <v>57616.904761904763</v>
      </c>
      <c r="F381" s="471">
        <f t="shared" si="22"/>
        <v>1786124.0476190466</v>
      </c>
      <c r="G381" s="950">
        <f t="shared" si="18"/>
        <v>257585.30225998044</v>
      </c>
      <c r="H381" s="953">
        <f t="shared" si="19"/>
        <v>257585.30225998044</v>
      </c>
      <c r="I381" s="512">
        <f t="shared" si="20"/>
        <v>0</v>
      </c>
      <c r="J381" s="512"/>
      <c r="K381" s="649"/>
      <c r="L381" s="518"/>
      <c r="M381" s="649"/>
      <c r="N381" s="518"/>
      <c r="O381" s="518"/>
    </row>
    <row r="382" spans="3:15">
      <c r="C382" s="508">
        <f>IF(D364="","-",+C381+1)</f>
        <v>2026</v>
      </c>
      <c r="D382" s="471">
        <f t="shared" si="23"/>
        <v>1786124.0476190466</v>
      </c>
      <c r="E382" s="515">
        <f t="shared" si="21"/>
        <v>57616.904761904763</v>
      </c>
      <c r="F382" s="471">
        <f t="shared" si="22"/>
        <v>1728507.1428571418</v>
      </c>
      <c r="G382" s="950">
        <f t="shared" si="18"/>
        <v>251237.09916480343</v>
      </c>
      <c r="H382" s="953">
        <f t="shared" si="19"/>
        <v>251237.09916480343</v>
      </c>
      <c r="I382" s="512">
        <f t="shared" si="20"/>
        <v>0</v>
      </c>
      <c r="J382" s="512"/>
      <c r="K382" s="649"/>
      <c r="L382" s="518"/>
      <c r="M382" s="649"/>
      <c r="N382" s="519"/>
      <c r="O382" s="518"/>
    </row>
    <row r="383" spans="3:15">
      <c r="C383" s="508">
        <f>IF(D364="","-",+C382+1)</f>
        <v>2027</v>
      </c>
      <c r="D383" s="471">
        <f t="shared" si="23"/>
        <v>1728507.1428571418</v>
      </c>
      <c r="E383" s="515">
        <f t="shared" si="21"/>
        <v>57616.904761904763</v>
      </c>
      <c r="F383" s="471">
        <f t="shared" si="22"/>
        <v>1670890.2380952369</v>
      </c>
      <c r="G383" s="950">
        <f t="shared" si="18"/>
        <v>244888.89606962641</v>
      </c>
      <c r="H383" s="953">
        <f t="shared" si="19"/>
        <v>244888.89606962641</v>
      </c>
      <c r="I383" s="512">
        <f t="shared" si="20"/>
        <v>0</v>
      </c>
      <c r="J383" s="512"/>
      <c r="K383" s="649"/>
      <c r="L383" s="518"/>
      <c r="M383" s="649"/>
      <c r="N383" s="518"/>
      <c r="O383" s="518"/>
    </row>
    <row r="384" spans="3:15">
      <c r="C384" s="508">
        <f>IF(D364="","-",+C383+1)</f>
        <v>2028</v>
      </c>
      <c r="D384" s="471">
        <f t="shared" si="23"/>
        <v>1670890.2380952369</v>
      </c>
      <c r="E384" s="515">
        <f t="shared" si="21"/>
        <v>57616.904761904763</v>
      </c>
      <c r="F384" s="471">
        <f t="shared" si="22"/>
        <v>1613273.3333333321</v>
      </c>
      <c r="G384" s="950">
        <f t="shared" si="18"/>
        <v>238540.69297444937</v>
      </c>
      <c r="H384" s="953">
        <f t="shared" si="19"/>
        <v>238540.69297444937</v>
      </c>
      <c r="I384" s="512">
        <f t="shared" si="20"/>
        <v>0</v>
      </c>
      <c r="J384" s="512"/>
      <c r="K384" s="649"/>
      <c r="L384" s="518"/>
      <c r="M384" s="649"/>
      <c r="N384" s="518"/>
      <c r="O384" s="518"/>
    </row>
    <row r="385" spans="3:15">
      <c r="C385" s="508">
        <f>IF(D364="","-",+C384+1)</f>
        <v>2029</v>
      </c>
      <c r="D385" s="471">
        <f t="shared" si="23"/>
        <v>1613273.3333333321</v>
      </c>
      <c r="E385" s="515">
        <f t="shared" si="21"/>
        <v>57616.904761904763</v>
      </c>
      <c r="F385" s="471">
        <f t="shared" si="22"/>
        <v>1555656.4285714272</v>
      </c>
      <c r="G385" s="950">
        <f t="shared" si="18"/>
        <v>232192.48987927235</v>
      </c>
      <c r="H385" s="953">
        <f t="shared" si="19"/>
        <v>232192.48987927235</v>
      </c>
      <c r="I385" s="512">
        <f t="shared" si="20"/>
        <v>0</v>
      </c>
      <c r="J385" s="512"/>
      <c r="K385" s="649"/>
      <c r="L385" s="518"/>
      <c r="M385" s="649"/>
      <c r="N385" s="518"/>
      <c r="O385" s="518"/>
    </row>
    <row r="386" spans="3:15">
      <c r="C386" s="508">
        <f>IF(D364="","-",+C385+1)</f>
        <v>2030</v>
      </c>
      <c r="D386" s="471">
        <f t="shared" si="23"/>
        <v>1555656.4285714272</v>
      </c>
      <c r="E386" s="515">
        <f t="shared" si="21"/>
        <v>57616.904761904763</v>
      </c>
      <c r="F386" s="471">
        <f t="shared" si="22"/>
        <v>1498039.5238095224</v>
      </c>
      <c r="G386" s="950">
        <f t="shared" si="18"/>
        <v>225844.28678409534</v>
      </c>
      <c r="H386" s="953">
        <f t="shared" si="19"/>
        <v>225844.28678409534</v>
      </c>
      <c r="I386" s="512">
        <f t="shared" si="20"/>
        <v>0</v>
      </c>
      <c r="J386" s="512"/>
      <c r="K386" s="649"/>
      <c r="L386" s="518"/>
      <c r="M386" s="649"/>
      <c r="N386" s="518"/>
      <c r="O386" s="518"/>
    </row>
    <row r="387" spans="3:15">
      <c r="C387" s="508">
        <f>IF(D364="","-",+C386+1)</f>
        <v>2031</v>
      </c>
      <c r="D387" s="471">
        <f t="shared" si="23"/>
        <v>1498039.5238095224</v>
      </c>
      <c r="E387" s="515">
        <f t="shared" si="21"/>
        <v>57616.904761904763</v>
      </c>
      <c r="F387" s="471">
        <f t="shared" si="22"/>
        <v>1440422.6190476175</v>
      </c>
      <c r="G387" s="950">
        <f t="shared" si="18"/>
        <v>219496.08368891833</v>
      </c>
      <c r="H387" s="953">
        <f t="shared" si="19"/>
        <v>219496.08368891833</v>
      </c>
      <c r="I387" s="512">
        <f t="shared" si="20"/>
        <v>0</v>
      </c>
      <c r="J387" s="512"/>
      <c r="K387" s="649"/>
      <c r="L387" s="518"/>
      <c r="M387" s="649"/>
      <c r="N387" s="518"/>
      <c r="O387" s="518"/>
    </row>
    <row r="388" spans="3:15">
      <c r="C388" s="508">
        <f>IF(D364="","-",+C387+1)</f>
        <v>2032</v>
      </c>
      <c r="D388" s="471">
        <f t="shared" si="23"/>
        <v>1440422.6190476175</v>
      </c>
      <c r="E388" s="515">
        <f t="shared" si="21"/>
        <v>57616.904761904763</v>
      </c>
      <c r="F388" s="471">
        <f t="shared" si="22"/>
        <v>1382805.7142857127</v>
      </c>
      <c r="G388" s="950">
        <f t="shared" si="18"/>
        <v>213147.88059374131</v>
      </c>
      <c r="H388" s="953">
        <f t="shared" si="19"/>
        <v>213147.88059374131</v>
      </c>
      <c r="I388" s="512">
        <f t="shared" si="20"/>
        <v>0</v>
      </c>
      <c r="J388" s="512"/>
      <c r="K388" s="649"/>
      <c r="L388" s="518"/>
      <c r="M388" s="649"/>
      <c r="N388" s="518"/>
      <c r="O388" s="518"/>
    </row>
    <row r="389" spans="3:15">
      <c r="C389" s="508">
        <f>IF(D364="","-",+C388+1)</f>
        <v>2033</v>
      </c>
      <c r="D389" s="471">
        <f t="shared" si="23"/>
        <v>1382805.7142857127</v>
      </c>
      <c r="E389" s="515">
        <f t="shared" si="21"/>
        <v>57616.904761904763</v>
      </c>
      <c r="F389" s="471">
        <f t="shared" si="22"/>
        <v>1325188.8095238078</v>
      </c>
      <c r="G389" s="950">
        <f t="shared" si="18"/>
        <v>206799.6774985643</v>
      </c>
      <c r="H389" s="953">
        <f t="shared" si="19"/>
        <v>206799.6774985643</v>
      </c>
      <c r="I389" s="512">
        <f t="shared" si="20"/>
        <v>0</v>
      </c>
      <c r="J389" s="512"/>
      <c r="K389" s="649"/>
      <c r="L389" s="518"/>
      <c r="M389" s="649"/>
      <c r="N389" s="518"/>
      <c r="O389" s="518"/>
    </row>
    <row r="390" spans="3:15">
      <c r="C390" s="508">
        <f>IF(D364="","-",+C389+1)</f>
        <v>2034</v>
      </c>
      <c r="D390" s="471">
        <f t="shared" si="23"/>
        <v>1325188.8095238078</v>
      </c>
      <c r="E390" s="515">
        <f t="shared" si="21"/>
        <v>57616.904761904763</v>
      </c>
      <c r="F390" s="471">
        <f t="shared" si="22"/>
        <v>1267571.904761903</v>
      </c>
      <c r="G390" s="950">
        <f t="shared" si="18"/>
        <v>200451.47440338728</v>
      </c>
      <c r="H390" s="953">
        <f t="shared" si="19"/>
        <v>200451.47440338728</v>
      </c>
      <c r="I390" s="512">
        <f t="shared" si="20"/>
        <v>0</v>
      </c>
      <c r="J390" s="512"/>
      <c r="K390" s="649"/>
      <c r="L390" s="518"/>
      <c r="M390" s="649"/>
      <c r="N390" s="518"/>
      <c r="O390" s="518"/>
    </row>
    <row r="391" spans="3:15">
      <c r="C391" s="508">
        <f>IF(D364="","-",+C390+1)</f>
        <v>2035</v>
      </c>
      <c r="D391" s="471">
        <f t="shared" si="23"/>
        <v>1267571.904761903</v>
      </c>
      <c r="E391" s="515">
        <f t="shared" si="21"/>
        <v>57616.904761904763</v>
      </c>
      <c r="F391" s="471">
        <f t="shared" si="22"/>
        <v>1209954.9999999981</v>
      </c>
      <c r="G391" s="950">
        <f t="shared" si="18"/>
        <v>194103.27130821024</v>
      </c>
      <c r="H391" s="953">
        <f t="shared" si="19"/>
        <v>194103.27130821024</v>
      </c>
      <c r="I391" s="512">
        <f t="shared" si="20"/>
        <v>0</v>
      </c>
      <c r="J391" s="512"/>
      <c r="K391" s="649"/>
      <c r="L391" s="518"/>
      <c r="M391" s="649"/>
      <c r="N391" s="518"/>
      <c r="O391" s="518"/>
    </row>
    <row r="392" spans="3:15">
      <c r="C392" s="508">
        <f>IF(D364="","-",+C391+1)</f>
        <v>2036</v>
      </c>
      <c r="D392" s="471">
        <f t="shared" si="23"/>
        <v>1209954.9999999981</v>
      </c>
      <c r="E392" s="515">
        <f t="shared" si="21"/>
        <v>57616.904761904763</v>
      </c>
      <c r="F392" s="471">
        <f t="shared" si="22"/>
        <v>1152338.0952380933</v>
      </c>
      <c r="G392" s="950">
        <f t="shared" si="18"/>
        <v>187755.06821303323</v>
      </c>
      <c r="H392" s="953">
        <f t="shared" si="19"/>
        <v>187755.06821303323</v>
      </c>
      <c r="I392" s="512">
        <f t="shared" si="20"/>
        <v>0</v>
      </c>
      <c r="J392" s="512"/>
      <c r="K392" s="649"/>
      <c r="L392" s="518"/>
      <c r="M392" s="649"/>
      <c r="N392" s="518"/>
      <c r="O392" s="518"/>
    </row>
    <row r="393" spans="3:15">
      <c r="C393" s="508">
        <f>IF(D364="","-",+C392+1)</f>
        <v>2037</v>
      </c>
      <c r="D393" s="471">
        <f t="shared" si="23"/>
        <v>1152338.0952380933</v>
      </c>
      <c r="E393" s="515">
        <f t="shared" si="21"/>
        <v>57616.904761904763</v>
      </c>
      <c r="F393" s="471">
        <f t="shared" si="22"/>
        <v>1094721.1904761884</v>
      </c>
      <c r="G393" s="950">
        <f t="shared" si="18"/>
        <v>181406.86511785621</v>
      </c>
      <c r="H393" s="953">
        <f t="shared" si="19"/>
        <v>181406.86511785621</v>
      </c>
      <c r="I393" s="512">
        <f t="shared" si="20"/>
        <v>0</v>
      </c>
      <c r="J393" s="512"/>
      <c r="K393" s="649"/>
      <c r="L393" s="518"/>
      <c r="M393" s="649"/>
      <c r="N393" s="518"/>
      <c r="O393" s="518"/>
    </row>
    <row r="394" spans="3:15">
      <c r="C394" s="508">
        <f>IF(D364="","-",+C393+1)</f>
        <v>2038</v>
      </c>
      <c r="D394" s="471">
        <f t="shared" si="23"/>
        <v>1094721.1904761884</v>
      </c>
      <c r="E394" s="515">
        <f t="shared" si="21"/>
        <v>57616.904761904763</v>
      </c>
      <c r="F394" s="471">
        <f t="shared" si="22"/>
        <v>1037104.2857142837</v>
      </c>
      <c r="G394" s="950">
        <f t="shared" si="18"/>
        <v>175058.6620226792</v>
      </c>
      <c r="H394" s="953">
        <f t="shared" si="19"/>
        <v>175058.6620226792</v>
      </c>
      <c r="I394" s="512">
        <f t="shared" si="20"/>
        <v>0</v>
      </c>
      <c r="J394" s="512"/>
      <c r="K394" s="649"/>
      <c r="L394" s="518"/>
      <c r="M394" s="649"/>
      <c r="N394" s="518"/>
      <c r="O394" s="518"/>
    </row>
    <row r="395" spans="3:15">
      <c r="C395" s="508">
        <f>IF(D364="","-",+C394+1)</f>
        <v>2039</v>
      </c>
      <c r="D395" s="471">
        <f t="shared" si="23"/>
        <v>1037104.2857142837</v>
      </c>
      <c r="E395" s="515">
        <f t="shared" si="21"/>
        <v>57616.904761904763</v>
      </c>
      <c r="F395" s="471">
        <f t="shared" si="22"/>
        <v>979487.38095237897</v>
      </c>
      <c r="G395" s="950">
        <f t="shared" si="18"/>
        <v>168710.45892750222</v>
      </c>
      <c r="H395" s="953">
        <f t="shared" si="19"/>
        <v>168710.45892750222</v>
      </c>
      <c r="I395" s="512">
        <f t="shared" si="20"/>
        <v>0</v>
      </c>
      <c r="J395" s="512"/>
      <c r="K395" s="649"/>
      <c r="L395" s="518"/>
      <c r="M395" s="649"/>
      <c r="N395" s="518"/>
      <c r="O395" s="518"/>
    </row>
    <row r="396" spans="3:15">
      <c r="C396" s="508">
        <f>IF(D364="","-",+C395+1)</f>
        <v>2040</v>
      </c>
      <c r="D396" s="471">
        <f t="shared" si="23"/>
        <v>979487.38095237897</v>
      </c>
      <c r="E396" s="515">
        <f t="shared" si="21"/>
        <v>57616.904761904763</v>
      </c>
      <c r="F396" s="471">
        <f t="shared" si="22"/>
        <v>921870.47619047423</v>
      </c>
      <c r="G396" s="950">
        <f t="shared" si="18"/>
        <v>162362.2558323252</v>
      </c>
      <c r="H396" s="953">
        <f t="shared" si="19"/>
        <v>162362.2558323252</v>
      </c>
      <c r="I396" s="512">
        <f t="shared" si="20"/>
        <v>0</v>
      </c>
      <c r="J396" s="512"/>
      <c r="K396" s="649"/>
      <c r="L396" s="518"/>
      <c r="M396" s="649"/>
      <c r="N396" s="518"/>
      <c r="O396" s="518"/>
    </row>
    <row r="397" spans="3:15">
      <c r="C397" s="508">
        <f>IF(D364="","-",+C396+1)</f>
        <v>2041</v>
      </c>
      <c r="D397" s="471">
        <f t="shared" si="23"/>
        <v>921870.47619047423</v>
      </c>
      <c r="E397" s="515">
        <f t="shared" si="21"/>
        <v>57616.904761904763</v>
      </c>
      <c r="F397" s="471">
        <f t="shared" si="22"/>
        <v>864253.5714285695</v>
      </c>
      <c r="G397" s="950">
        <f t="shared" si="18"/>
        <v>156014.05273714819</v>
      </c>
      <c r="H397" s="953">
        <f t="shared" si="19"/>
        <v>156014.05273714819</v>
      </c>
      <c r="I397" s="512">
        <f t="shared" si="20"/>
        <v>0</v>
      </c>
      <c r="J397" s="512"/>
      <c r="K397" s="649"/>
      <c r="L397" s="518"/>
      <c r="M397" s="649"/>
      <c r="N397" s="518"/>
      <c r="O397" s="518"/>
    </row>
    <row r="398" spans="3:15">
      <c r="C398" s="508">
        <f>IF(D364="","-",+C397+1)</f>
        <v>2042</v>
      </c>
      <c r="D398" s="471">
        <f t="shared" si="23"/>
        <v>864253.5714285695</v>
      </c>
      <c r="E398" s="515">
        <f t="shared" si="21"/>
        <v>57616.904761904763</v>
      </c>
      <c r="F398" s="471">
        <f t="shared" si="22"/>
        <v>806636.66666666477</v>
      </c>
      <c r="G398" s="959">
        <f t="shared" si="18"/>
        <v>149665.84964197117</v>
      </c>
      <c r="H398" s="953">
        <f t="shared" si="19"/>
        <v>149665.84964197117</v>
      </c>
      <c r="I398" s="512">
        <f t="shared" si="20"/>
        <v>0</v>
      </c>
      <c r="J398" s="512"/>
      <c r="K398" s="649"/>
      <c r="L398" s="518"/>
      <c r="M398" s="649"/>
      <c r="N398" s="518"/>
      <c r="O398" s="518"/>
    </row>
    <row r="399" spans="3:15">
      <c r="C399" s="508">
        <f>IF(D364="","-",+C398+1)</f>
        <v>2043</v>
      </c>
      <c r="D399" s="471">
        <f t="shared" si="23"/>
        <v>806636.66666666477</v>
      </c>
      <c r="E399" s="515">
        <f t="shared" si="21"/>
        <v>57616.904761904763</v>
      </c>
      <c r="F399" s="471">
        <f t="shared" si="22"/>
        <v>749019.76190476003</v>
      </c>
      <c r="G399" s="950">
        <f t="shared" si="18"/>
        <v>143317.64654679416</v>
      </c>
      <c r="H399" s="953">
        <f t="shared" si="19"/>
        <v>143317.64654679416</v>
      </c>
      <c r="I399" s="512">
        <f t="shared" si="20"/>
        <v>0</v>
      </c>
      <c r="J399" s="512"/>
      <c r="K399" s="649"/>
      <c r="L399" s="518"/>
      <c r="M399" s="649"/>
      <c r="N399" s="518"/>
      <c r="O399" s="518"/>
    </row>
    <row r="400" spans="3:15">
      <c r="C400" s="508">
        <f>IF(D364="","-",+C399+1)</f>
        <v>2044</v>
      </c>
      <c r="D400" s="471">
        <f t="shared" si="23"/>
        <v>749019.76190476003</v>
      </c>
      <c r="E400" s="515">
        <f t="shared" si="21"/>
        <v>57616.904761904763</v>
      </c>
      <c r="F400" s="471">
        <f t="shared" si="22"/>
        <v>691402.8571428553</v>
      </c>
      <c r="G400" s="950">
        <f t="shared" si="18"/>
        <v>136969.44345161715</v>
      </c>
      <c r="H400" s="953">
        <f t="shared" si="19"/>
        <v>136969.44345161715</v>
      </c>
      <c r="I400" s="512">
        <f t="shared" si="20"/>
        <v>0</v>
      </c>
      <c r="J400" s="512"/>
      <c r="K400" s="649"/>
      <c r="L400" s="518"/>
      <c r="M400" s="649"/>
      <c r="N400" s="518"/>
      <c r="O400" s="518"/>
    </row>
    <row r="401" spans="3:15">
      <c r="C401" s="508">
        <f>IF(D364="","-",+C400+1)</f>
        <v>2045</v>
      </c>
      <c r="D401" s="471">
        <f t="shared" si="23"/>
        <v>691402.8571428553</v>
      </c>
      <c r="E401" s="515">
        <f t="shared" si="21"/>
        <v>57616.904761904763</v>
      </c>
      <c r="F401" s="471">
        <f t="shared" si="22"/>
        <v>633785.95238095056</v>
      </c>
      <c r="G401" s="950">
        <f t="shared" si="18"/>
        <v>130621.24035644018</v>
      </c>
      <c r="H401" s="953">
        <f t="shared" si="19"/>
        <v>130621.24035644018</v>
      </c>
      <c r="I401" s="512">
        <f t="shared" si="20"/>
        <v>0</v>
      </c>
      <c r="J401" s="512"/>
      <c r="K401" s="649"/>
      <c r="L401" s="518"/>
      <c r="M401" s="649"/>
      <c r="N401" s="518"/>
      <c r="O401" s="518"/>
    </row>
    <row r="402" spans="3:15">
      <c r="C402" s="508">
        <f>IF(D364="","-",+C401+1)</f>
        <v>2046</v>
      </c>
      <c r="D402" s="471">
        <f t="shared" si="23"/>
        <v>633785.95238095056</v>
      </c>
      <c r="E402" s="515">
        <f t="shared" si="21"/>
        <v>57616.904761904763</v>
      </c>
      <c r="F402" s="471">
        <f t="shared" si="22"/>
        <v>576169.04761904583</v>
      </c>
      <c r="G402" s="950">
        <f t="shared" si="18"/>
        <v>124273.03726126315</v>
      </c>
      <c r="H402" s="953">
        <f t="shared" si="19"/>
        <v>124273.03726126315</v>
      </c>
      <c r="I402" s="512">
        <f t="shared" si="20"/>
        <v>0</v>
      </c>
      <c r="J402" s="512"/>
      <c r="K402" s="649"/>
      <c r="L402" s="518"/>
      <c r="M402" s="649"/>
      <c r="N402" s="518"/>
      <c r="O402" s="518"/>
    </row>
    <row r="403" spans="3:15">
      <c r="C403" s="508">
        <f>IF(D364="","-",+C402+1)</f>
        <v>2047</v>
      </c>
      <c r="D403" s="471">
        <f t="shared" si="23"/>
        <v>576169.04761904583</v>
      </c>
      <c r="E403" s="515">
        <f t="shared" si="21"/>
        <v>57616.904761904763</v>
      </c>
      <c r="F403" s="471">
        <f t="shared" si="22"/>
        <v>518552.14285714109</v>
      </c>
      <c r="G403" s="950">
        <f t="shared" si="18"/>
        <v>117924.83416608616</v>
      </c>
      <c r="H403" s="953">
        <f t="shared" si="19"/>
        <v>117924.83416608616</v>
      </c>
      <c r="I403" s="512">
        <f t="shared" si="20"/>
        <v>0</v>
      </c>
      <c r="J403" s="512"/>
      <c r="K403" s="649"/>
      <c r="L403" s="518"/>
      <c r="M403" s="649"/>
      <c r="N403" s="518"/>
      <c r="O403" s="518"/>
    </row>
    <row r="404" spans="3:15">
      <c r="C404" s="508">
        <f>IF(D364="","-",+C403+1)</f>
        <v>2048</v>
      </c>
      <c r="D404" s="471">
        <f t="shared" si="23"/>
        <v>518552.14285714109</v>
      </c>
      <c r="E404" s="515">
        <f t="shared" si="21"/>
        <v>57616.904761904763</v>
      </c>
      <c r="F404" s="471">
        <f t="shared" si="22"/>
        <v>460935.23809523636</v>
      </c>
      <c r="G404" s="950">
        <f t="shared" si="18"/>
        <v>111576.63107090915</v>
      </c>
      <c r="H404" s="953">
        <f t="shared" si="19"/>
        <v>111576.63107090915</v>
      </c>
      <c r="I404" s="512">
        <f t="shared" si="20"/>
        <v>0</v>
      </c>
      <c r="J404" s="512"/>
      <c r="K404" s="649"/>
      <c r="L404" s="518"/>
      <c r="M404" s="649"/>
      <c r="N404" s="518"/>
      <c r="O404" s="518"/>
    </row>
    <row r="405" spans="3:15">
      <c r="C405" s="508">
        <f>IF(D364="","-",+C404+1)</f>
        <v>2049</v>
      </c>
      <c r="D405" s="471">
        <f t="shared" si="23"/>
        <v>460935.23809523636</v>
      </c>
      <c r="E405" s="515">
        <f t="shared" si="21"/>
        <v>57616.904761904763</v>
      </c>
      <c r="F405" s="471">
        <f t="shared" si="22"/>
        <v>403318.33333333163</v>
      </c>
      <c r="G405" s="950">
        <f t="shared" si="18"/>
        <v>105228.42797573213</v>
      </c>
      <c r="H405" s="953">
        <f t="shared" si="19"/>
        <v>105228.42797573213</v>
      </c>
      <c r="I405" s="512">
        <f t="shared" si="20"/>
        <v>0</v>
      </c>
      <c r="J405" s="512"/>
      <c r="K405" s="649"/>
      <c r="L405" s="518"/>
      <c r="M405" s="649"/>
      <c r="N405" s="518"/>
      <c r="O405" s="518"/>
    </row>
    <row r="406" spans="3:15">
      <c r="C406" s="508">
        <f>IF(D364="","-",+C405+1)</f>
        <v>2050</v>
      </c>
      <c r="D406" s="471">
        <f t="shared" si="23"/>
        <v>403318.33333333163</v>
      </c>
      <c r="E406" s="515">
        <f t="shared" si="21"/>
        <v>57616.904761904763</v>
      </c>
      <c r="F406" s="471">
        <f t="shared" si="22"/>
        <v>345701.42857142689</v>
      </c>
      <c r="G406" s="950">
        <f t="shared" si="18"/>
        <v>98880.224880555135</v>
      </c>
      <c r="H406" s="953">
        <f t="shared" si="19"/>
        <v>98880.224880555135</v>
      </c>
      <c r="I406" s="512">
        <f t="shared" si="20"/>
        <v>0</v>
      </c>
      <c r="J406" s="512"/>
      <c r="K406" s="649"/>
      <c r="L406" s="518"/>
      <c r="M406" s="649"/>
      <c r="N406" s="518"/>
      <c r="O406" s="518"/>
    </row>
    <row r="407" spans="3:15">
      <c r="C407" s="508">
        <f>IF(D364="","-",+C406+1)</f>
        <v>2051</v>
      </c>
      <c r="D407" s="471">
        <f t="shared" si="23"/>
        <v>345701.42857142689</v>
      </c>
      <c r="E407" s="515">
        <f t="shared" si="21"/>
        <v>57616.904761904763</v>
      </c>
      <c r="F407" s="471">
        <f t="shared" si="22"/>
        <v>288084.52380952216</v>
      </c>
      <c r="G407" s="950">
        <f t="shared" si="18"/>
        <v>92532.021785378136</v>
      </c>
      <c r="H407" s="953">
        <f t="shared" si="19"/>
        <v>92532.021785378136</v>
      </c>
      <c r="I407" s="512">
        <f t="shared" si="20"/>
        <v>0</v>
      </c>
      <c r="J407" s="512"/>
      <c r="K407" s="649"/>
      <c r="L407" s="518"/>
      <c r="M407" s="649"/>
      <c r="N407" s="518"/>
      <c r="O407" s="518"/>
    </row>
    <row r="408" spans="3:15">
      <c r="C408" s="508">
        <f>IF(D364="","-",+C407+1)</f>
        <v>2052</v>
      </c>
      <c r="D408" s="471">
        <f t="shared" si="23"/>
        <v>288084.52380952216</v>
      </c>
      <c r="E408" s="515">
        <f t="shared" si="21"/>
        <v>57616.904761904763</v>
      </c>
      <c r="F408" s="471">
        <f t="shared" si="22"/>
        <v>230467.61904761739</v>
      </c>
      <c r="G408" s="950">
        <f t="shared" si="18"/>
        <v>86183.818690201122</v>
      </c>
      <c r="H408" s="953">
        <f t="shared" si="19"/>
        <v>86183.818690201122</v>
      </c>
      <c r="I408" s="512">
        <f t="shared" si="20"/>
        <v>0</v>
      </c>
      <c r="J408" s="512"/>
      <c r="K408" s="649"/>
      <c r="L408" s="518"/>
      <c r="M408" s="649"/>
      <c r="N408" s="518"/>
      <c r="O408" s="518"/>
    </row>
    <row r="409" spans="3:15">
      <c r="C409" s="508">
        <f>IF(D364="","-",+C408+1)</f>
        <v>2053</v>
      </c>
      <c r="D409" s="471">
        <f t="shared" si="23"/>
        <v>230467.61904761739</v>
      </c>
      <c r="E409" s="515">
        <f t="shared" si="21"/>
        <v>57616.904761904763</v>
      </c>
      <c r="F409" s="471">
        <f t="shared" si="22"/>
        <v>172850.71428571263</v>
      </c>
      <c r="G409" s="950">
        <f t="shared" si="18"/>
        <v>79835.615595024108</v>
      </c>
      <c r="H409" s="953">
        <f t="shared" si="19"/>
        <v>79835.615595024108</v>
      </c>
      <c r="I409" s="512">
        <f t="shared" si="20"/>
        <v>0</v>
      </c>
      <c r="J409" s="512"/>
      <c r="K409" s="649"/>
      <c r="L409" s="518"/>
      <c r="M409" s="649"/>
      <c r="N409" s="518"/>
      <c r="O409" s="518"/>
    </row>
    <row r="410" spans="3:15">
      <c r="C410" s="508">
        <f>IF(D364="","-",+C409+1)</f>
        <v>2054</v>
      </c>
      <c r="D410" s="471">
        <f t="shared" si="23"/>
        <v>172850.71428571263</v>
      </c>
      <c r="E410" s="515">
        <f t="shared" si="21"/>
        <v>57616.904761904763</v>
      </c>
      <c r="F410" s="471">
        <f t="shared" si="22"/>
        <v>115233.80952380787</v>
      </c>
      <c r="G410" s="950">
        <f t="shared" si="18"/>
        <v>73487.412499847109</v>
      </c>
      <c r="H410" s="953">
        <f t="shared" si="19"/>
        <v>73487.412499847109</v>
      </c>
      <c r="I410" s="512">
        <f t="shared" si="20"/>
        <v>0</v>
      </c>
      <c r="J410" s="512"/>
      <c r="K410" s="649"/>
      <c r="L410" s="518"/>
      <c r="M410" s="649"/>
      <c r="N410" s="518"/>
      <c r="O410" s="518"/>
    </row>
    <row r="411" spans="3:15">
      <c r="C411" s="508">
        <f>IF(D364="","-",+C410+1)</f>
        <v>2055</v>
      </c>
      <c r="D411" s="471">
        <f t="shared" si="23"/>
        <v>115233.80952380787</v>
      </c>
      <c r="E411" s="515">
        <f t="shared" si="21"/>
        <v>57616.904761904763</v>
      </c>
      <c r="F411" s="471">
        <f t="shared" si="22"/>
        <v>57616.904761903104</v>
      </c>
      <c r="G411" s="950">
        <f t="shared" si="18"/>
        <v>67139.209404670095</v>
      </c>
      <c r="H411" s="953">
        <f t="shared" si="19"/>
        <v>67139.209404670095</v>
      </c>
      <c r="I411" s="512">
        <f t="shared" si="20"/>
        <v>0</v>
      </c>
      <c r="J411" s="512"/>
      <c r="K411" s="649"/>
      <c r="L411" s="518"/>
      <c r="M411" s="649"/>
      <c r="N411" s="518"/>
      <c r="O411" s="518"/>
    </row>
    <row r="412" spans="3:15">
      <c r="C412" s="508">
        <f>IF(D364="","-",+C411+1)</f>
        <v>2056</v>
      </c>
      <c r="D412" s="471">
        <f t="shared" si="23"/>
        <v>57616.904761903104</v>
      </c>
      <c r="E412" s="515">
        <f t="shared" si="21"/>
        <v>57616.904761903104</v>
      </c>
      <c r="F412" s="471">
        <f t="shared" si="22"/>
        <v>0</v>
      </c>
      <c r="G412" s="950">
        <f t="shared" si="18"/>
        <v>60791.006309491517</v>
      </c>
      <c r="H412" s="953">
        <f t="shared" si="19"/>
        <v>60791.006309491517</v>
      </c>
      <c r="I412" s="512">
        <f t="shared" si="20"/>
        <v>0</v>
      </c>
      <c r="J412" s="512"/>
      <c r="K412" s="649"/>
      <c r="L412" s="518"/>
      <c r="M412" s="649"/>
      <c r="N412" s="518"/>
      <c r="O412" s="518"/>
    </row>
    <row r="413" spans="3:15">
      <c r="C413" s="508">
        <f>IF(D364="","-",+C412+1)</f>
        <v>2057</v>
      </c>
      <c r="D413" s="471">
        <f t="shared" si="23"/>
        <v>0</v>
      </c>
      <c r="E413" s="515">
        <f t="shared" si="21"/>
        <v>0</v>
      </c>
      <c r="F413" s="471">
        <f t="shared" si="22"/>
        <v>0</v>
      </c>
      <c r="G413" s="950">
        <f t="shared" si="18"/>
        <v>0</v>
      </c>
      <c r="H413" s="953">
        <f t="shared" si="19"/>
        <v>0</v>
      </c>
      <c r="I413" s="512">
        <f t="shared" si="20"/>
        <v>0</v>
      </c>
      <c r="J413" s="512"/>
      <c r="K413" s="649"/>
      <c r="L413" s="518"/>
      <c r="M413" s="649"/>
      <c r="N413" s="518"/>
      <c r="O413" s="518"/>
    </row>
    <row r="414" spans="3:15">
      <c r="C414" s="508">
        <f>IF(D364="","-",+C413+1)</f>
        <v>2058</v>
      </c>
      <c r="D414" s="471">
        <f t="shared" si="23"/>
        <v>0</v>
      </c>
      <c r="E414" s="515">
        <f t="shared" si="21"/>
        <v>0</v>
      </c>
      <c r="F414" s="471">
        <f t="shared" si="22"/>
        <v>0</v>
      </c>
      <c r="G414" s="950">
        <f t="shared" si="18"/>
        <v>0</v>
      </c>
      <c r="H414" s="953">
        <f t="shared" si="19"/>
        <v>0</v>
      </c>
      <c r="I414" s="512">
        <f t="shared" si="20"/>
        <v>0</v>
      </c>
      <c r="J414" s="512"/>
      <c r="K414" s="649"/>
      <c r="L414" s="518"/>
      <c r="M414" s="649"/>
      <c r="N414" s="518"/>
      <c r="O414" s="518"/>
    </row>
    <row r="415" spans="3:15">
      <c r="C415" s="508">
        <f>IF(D364="","-",+C414+1)</f>
        <v>2059</v>
      </c>
      <c r="D415" s="471">
        <f t="shared" si="23"/>
        <v>0</v>
      </c>
      <c r="E415" s="515">
        <f t="shared" si="21"/>
        <v>0</v>
      </c>
      <c r="F415" s="471">
        <f t="shared" si="22"/>
        <v>0</v>
      </c>
      <c r="G415" s="950">
        <f t="shared" si="18"/>
        <v>0</v>
      </c>
      <c r="H415" s="953">
        <f t="shared" si="19"/>
        <v>0</v>
      </c>
      <c r="I415" s="512">
        <f t="shared" si="20"/>
        <v>0</v>
      </c>
      <c r="J415" s="512"/>
      <c r="K415" s="649"/>
      <c r="L415" s="518"/>
      <c r="M415" s="649"/>
      <c r="N415" s="518"/>
      <c r="O415" s="518"/>
    </row>
    <row r="416" spans="3:15">
      <c r="C416" s="508">
        <f>IF(D364="","-",+C415+1)</f>
        <v>2060</v>
      </c>
      <c r="D416" s="471">
        <f t="shared" si="23"/>
        <v>0</v>
      </c>
      <c r="E416" s="515">
        <f t="shared" si="21"/>
        <v>0</v>
      </c>
      <c r="F416" s="471">
        <f t="shared" si="22"/>
        <v>0</v>
      </c>
      <c r="G416" s="950">
        <f t="shared" si="18"/>
        <v>0</v>
      </c>
      <c r="H416" s="953">
        <f t="shared" si="19"/>
        <v>0</v>
      </c>
      <c r="I416" s="512">
        <f t="shared" si="20"/>
        <v>0</v>
      </c>
      <c r="J416" s="512"/>
      <c r="K416" s="649"/>
      <c r="L416" s="518"/>
      <c r="M416" s="649"/>
      <c r="N416" s="518"/>
      <c r="O416" s="518"/>
    </row>
    <row r="417" spans="3:15">
      <c r="C417" s="508">
        <f>IF(D364="","-",+C416+1)</f>
        <v>2061</v>
      </c>
      <c r="D417" s="471">
        <f t="shared" si="23"/>
        <v>0</v>
      </c>
      <c r="E417" s="515">
        <f t="shared" si="21"/>
        <v>0</v>
      </c>
      <c r="F417" s="471">
        <f t="shared" si="22"/>
        <v>0</v>
      </c>
      <c r="G417" s="950">
        <f t="shared" si="18"/>
        <v>0</v>
      </c>
      <c r="H417" s="953">
        <f t="shared" si="19"/>
        <v>0</v>
      </c>
      <c r="I417" s="512">
        <f t="shared" si="20"/>
        <v>0</v>
      </c>
      <c r="J417" s="512"/>
      <c r="K417" s="649"/>
      <c r="L417" s="518"/>
      <c r="M417" s="649"/>
      <c r="N417" s="518"/>
      <c r="O417" s="518"/>
    </row>
    <row r="418" spans="3:15">
      <c r="C418" s="508">
        <f>IF(D364="","-",+C417+1)</f>
        <v>2062</v>
      </c>
      <c r="D418" s="471">
        <f t="shared" si="23"/>
        <v>0</v>
      </c>
      <c r="E418" s="515">
        <f t="shared" si="21"/>
        <v>0</v>
      </c>
      <c r="F418" s="471">
        <f t="shared" si="22"/>
        <v>0</v>
      </c>
      <c r="G418" s="950">
        <f t="shared" si="18"/>
        <v>0</v>
      </c>
      <c r="H418" s="953">
        <f t="shared" si="19"/>
        <v>0</v>
      </c>
      <c r="I418" s="512">
        <f t="shared" si="20"/>
        <v>0</v>
      </c>
      <c r="J418" s="512"/>
      <c r="K418" s="649"/>
      <c r="L418" s="518"/>
      <c r="M418" s="649"/>
      <c r="N418" s="518"/>
      <c r="O418" s="518"/>
    </row>
    <row r="419" spans="3:15">
      <c r="C419" s="508">
        <f>IF(D364="","-",+C418+1)</f>
        <v>2063</v>
      </c>
      <c r="D419" s="471">
        <f t="shared" si="23"/>
        <v>0</v>
      </c>
      <c r="E419" s="515">
        <f t="shared" si="21"/>
        <v>0</v>
      </c>
      <c r="F419" s="471">
        <f t="shared" si="22"/>
        <v>0</v>
      </c>
      <c r="G419" s="950">
        <f t="shared" si="18"/>
        <v>0</v>
      </c>
      <c r="H419" s="953">
        <f t="shared" si="19"/>
        <v>0</v>
      </c>
      <c r="I419" s="512">
        <f t="shared" si="20"/>
        <v>0</v>
      </c>
      <c r="J419" s="512"/>
      <c r="K419" s="649"/>
      <c r="L419" s="518"/>
      <c r="M419" s="649"/>
      <c r="N419" s="518"/>
      <c r="O419" s="518"/>
    </row>
    <row r="420" spans="3:15">
      <c r="C420" s="508">
        <f>IF(D364="","-",+C419+1)</f>
        <v>2064</v>
      </c>
      <c r="D420" s="471">
        <f t="shared" si="23"/>
        <v>0</v>
      </c>
      <c r="E420" s="515">
        <f t="shared" si="21"/>
        <v>0</v>
      </c>
      <c r="F420" s="471">
        <f t="shared" si="22"/>
        <v>0</v>
      </c>
      <c r="G420" s="950">
        <f t="shared" si="18"/>
        <v>0</v>
      </c>
      <c r="H420" s="953">
        <f t="shared" si="19"/>
        <v>0</v>
      </c>
      <c r="I420" s="512">
        <f t="shared" si="20"/>
        <v>0</v>
      </c>
      <c r="J420" s="512"/>
      <c r="K420" s="649"/>
      <c r="L420" s="518"/>
      <c r="M420" s="649"/>
      <c r="N420" s="518"/>
      <c r="O420" s="518"/>
    </row>
    <row r="421" spans="3:15">
      <c r="C421" s="508">
        <f>IF(D364="","-",+C420+1)</f>
        <v>2065</v>
      </c>
      <c r="D421" s="471">
        <f t="shared" si="23"/>
        <v>0</v>
      </c>
      <c r="E421" s="515">
        <f t="shared" si="21"/>
        <v>0</v>
      </c>
      <c r="F421" s="471">
        <f t="shared" si="22"/>
        <v>0</v>
      </c>
      <c r="G421" s="950">
        <f t="shared" si="18"/>
        <v>0</v>
      </c>
      <c r="H421" s="953">
        <f t="shared" si="19"/>
        <v>0</v>
      </c>
      <c r="I421" s="512">
        <f t="shared" si="20"/>
        <v>0</v>
      </c>
      <c r="J421" s="512"/>
      <c r="K421" s="649"/>
      <c r="L421" s="518"/>
      <c r="M421" s="649"/>
      <c r="N421" s="518"/>
      <c r="O421" s="518"/>
    </row>
    <row r="422" spans="3:15">
      <c r="C422" s="508">
        <f>IF(D364="","-",+C421+1)</f>
        <v>2066</v>
      </c>
      <c r="D422" s="471">
        <f t="shared" si="23"/>
        <v>0</v>
      </c>
      <c r="E422" s="515">
        <f t="shared" si="21"/>
        <v>0</v>
      </c>
      <c r="F422" s="471">
        <f t="shared" si="22"/>
        <v>0</v>
      </c>
      <c r="G422" s="950">
        <f t="shared" si="18"/>
        <v>0</v>
      </c>
      <c r="H422" s="953">
        <f t="shared" si="19"/>
        <v>0</v>
      </c>
      <c r="I422" s="512">
        <f t="shared" si="20"/>
        <v>0</v>
      </c>
      <c r="J422" s="512"/>
      <c r="K422" s="649"/>
      <c r="L422" s="518"/>
      <c r="M422" s="649"/>
      <c r="N422" s="518"/>
      <c r="O422" s="518"/>
    </row>
    <row r="423" spans="3:15">
      <c r="C423" s="508">
        <f>IF(D364="","-",+C422+1)</f>
        <v>2067</v>
      </c>
      <c r="D423" s="471">
        <f t="shared" si="23"/>
        <v>0</v>
      </c>
      <c r="E423" s="515">
        <f t="shared" si="21"/>
        <v>0</v>
      </c>
      <c r="F423" s="471">
        <f t="shared" si="22"/>
        <v>0</v>
      </c>
      <c r="G423" s="950">
        <f t="shared" si="18"/>
        <v>0</v>
      </c>
      <c r="H423" s="953">
        <f t="shared" si="19"/>
        <v>0</v>
      </c>
      <c r="I423" s="512">
        <f t="shared" si="20"/>
        <v>0</v>
      </c>
      <c r="J423" s="512"/>
      <c r="K423" s="649"/>
      <c r="L423" s="518"/>
      <c r="M423" s="649"/>
      <c r="N423" s="518"/>
      <c r="O423" s="518"/>
    </row>
    <row r="424" spans="3:15">
      <c r="C424" s="508">
        <f>IF(D364="","-",+C423+1)</f>
        <v>2068</v>
      </c>
      <c r="D424" s="471">
        <f t="shared" si="23"/>
        <v>0</v>
      </c>
      <c r="E424" s="515">
        <f t="shared" si="21"/>
        <v>0</v>
      </c>
      <c r="F424" s="471">
        <f t="shared" si="22"/>
        <v>0</v>
      </c>
      <c r="G424" s="950">
        <f t="shared" si="18"/>
        <v>0</v>
      </c>
      <c r="H424" s="953">
        <f t="shared" si="19"/>
        <v>0</v>
      </c>
      <c r="I424" s="512">
        <f t="shared" si="20"/>
        <v>0</v>
      </c>
      <c r="J424" s="512"/>
      <c r="K424" s="649"/>
      <c r="L424" s="518"/>
      <c r="M424" s="649"/>
      <c r="N424" s="518"/>
      <c r="O424" s="518"/>
    </row>
    <row r="425" spans="3:15">
      <c r="C425" s="508">
        <f>IF(D364="","-",+C424+1)</f>
        <v>2069</v>
      </c>
      <c r="D425" s="471">
        <f t="shared" si="23"/>
        <v>0</v>
      </c>
      <c r="E425" s="515">
        <f t="shared" si="21"/>
        <v>0</v>
      </c>
      <c r="F425" s="471">
        <f t="shared" si="22"/>
        <v>0</v>
      </c>
      <c r="G425" s="950">
        <f t="shared" si="18"/>
        <v>0</v>
      </c>
      <c r="H425" s="953">
        <f t="shared" si="19"/>
        <v>0</v>
      </c>
      <c r="I425" s="512">
        <f t="shared" si="20"/>
        <v>0</v>
      </c>
      <c r="J425" s="512"/>
      <c r="K425" s="649"/>
      <c r="L425" s="518"/>
      <c r="M425" s="649"/>
      <c r="N425" s="518"/>
      <c r="O425" s="518"/>
    </row>
    <row r="426" spans="3:15">
      <c r="C426" s="508">
        <f>IF(D364="","-",+C425+1)</f>
        <v>2070</v>
      </c>
      <c r="D426" s="471">
        <f t="shared" si="23"/>
        <v>0</v>
      </c>
      <c r="E426" s="515">
        <f t="shared" si="21"/>
        <v>0</v>
      </c>
      <c r="F426" s="471">
        <f t="shared" si="22"/>
        <v>0</v>
      </c>
      <c r="G426" s="950">
        <f t="shared" si="18"/>
        <v>0</v>
      </c>
      <c r="H426" s="953">
        <f t="shared" si="19"/>
        <v>0</v>
      </c>
      <c r="I426" s="512">
        <f t="shared" si="20"/>
        <v>0</v>
      </c>
      <c r="J426" s="512"/>
      <c r="K426" s="649"/>
      <c r="L426" s="518"/>
      <c r="M426" s="649"/>
      <c r="N426" s="518"/>
      <c r="O426" s="518"/>
    </row>
    <row r="427" spans="3:15">
      <c r="C427" s="508">
        <f>IF(D364="","-",+C426+1)</f>
        <v>2071</v>
      </c>
      <c r="D427" s="471">
        <f t="shared" si="23"/>
        <v>0</v>
      </c>
      <c r="E427" s="515">
        <f t="shared" si="21"/>
        <v>0</v>
      </c>
      <c r="F427" s="471">
        <f t="shared" si="22"/>
        <v>0</v>
      </c>
      <c r="G427" s="950">
        <f t="shared" si="18"/>
        <v>0</v>
      </c>
      <c r="H427" s="953">
        <f t="shared" si="19"/>
        <v>0</v>
      </c>
      <c r="I427" s="512">
        <f t="shared" si="20"/>
        <v>0</v>
      </c>
      <c r="J427" s="512"/>
      <c r="K427" s="649"/>
      <c r="L427" s="518"/>
      <c r="M427" s="649"/>
      <c r="N427" s="518"/>
      <c r="O427" s="518"/>
    </row>
    <row r="428" spans="3:15">
      <c r="C428" s="508">
        <f>IF(D364="","-",+C427+1)</f>
        <v>2072</v>
      </c>
      <c r="D428" s="471">
        <f t="shared" si="23"/>
        <v>0</v>
      </c>
      <c r="E428" s="515">
        <f t="shared" si="21"/>
        <v>0</v>
      </c>
      <c r="F428" s="471">
        <f t="shared" si="22"/>
        <v>0</v>
      </c>
      <c r="G428" s="950">
        <f t="shared" si="18"/>
        <v>0</v>
      </c>
      <c r="H428" s="953">
        <f t="shared" si="19"/>
        <v>0</v>
      </c>
      <c r="I428" s="512">
        <f t="shared" si="20"/>
        <v>0</v>
      </c>
      <c r="J428" s="512"/>
      <c r="K428" s="649"/>
      <c r="L428" s="518"/>
      <c r="M428" s="649"/>
      <c r="N428" s="518"/>
      <c r="O428" s="518"/>
    </row>
    <row r="429" spans="3:15" ht="13.5" thickBot="1">
      <c r="C429" s="520">
        <f>IF(D364="","-",+C428+1)</f>
        <v>2073</v>
      </c>
      <c r="D429" s="521">
        <f t="shared" si="23"/>
        <v>0</v>
      </c>
      <c r="E429" s="522">
        <f t="shared" si="21"/>
        <v>0</v>
      </c>
      <c r="F429" s="521">
        <f t="shared" si="22"/>
        <v>0</v>
      </c>
      <c r="G429" s="960">
        <f t="shared" si="18"/>
        <v>0</v>
      </c>
      <c r="H429" s="960">
        <f t="shared" si="19"/>
        <v>0</v>
      </c>
      <c r="I429" s="524">
        <f t="shared" si="20"/>
        <v>0</v>
      </c>
      <c r="J429" s="512"/>
      <c r="K429" s="650"/>
      <c r="L429" s="526"/>
      <c r="M429" s="650"/>
      <c r="N429" s="526"/>
      <c r="O429" s="526"/>
    </row>
    <row r="430" spans="3:15">
      <c r="C430" s="471" t="s">
        <v>288</v>
      </c>
      <c r="D430" s="931"/>
      <c r="E430" s="931">
        <f>SUM(E370:E429)</f>
        <v>2419909.9999999995</v>
      </c>
      <c r="F430" s="931"/>
      <c r="G430" s="931">
        <f>SUM(G370:G429)</f>
        <v>8285649.6599435471</v>
      </c>
      <c r="H430" s="931">
        <f>SUM(H370:H429)</f>
        <v>8285649.6599435471</v>
      </c>
      <c r="I430" s="931">
        <f>SUM(I370:I429)</f>
        <v>0</v>
      </c>
      <c r="J430" s="931"/>
      <c r="K430" s="931"/>
      <c r="L430" s="931"/>
      <c r="M430" s="931"/>
      <c r="N430" s="931"/>
      <c r="O430" s="4"/>
    </row>
    <row r="431" spans="3:15">
      <c r="D431" s="78"/>
      <c r="E431" s="4"/>
      <c r="F431" s="4"/>
      <c r="G431" s="4"/>
      <c r="H431" s="930"/>
      <c r="I431" s="930"/>
      <c r="J431" s="931"/>
      <c r="K431" s="930"/>
      <c r="L431" s="930"/>
      <c r="M431" s="930"/>
      <c r="N431" s="930"/>
      <c r="O431" s="4"/>
    </row>
    <row r="432" spans="3:15">
      <c r="C432" s="4" t="s">
        <v>600</v>
      </c>
      <c r="D432" s="78"/>
      <c r="E432" s="4"/>
      <c r="F432" s="4"/>
      <c r="G432" s="4"/>
      <c r="H432" s="930"/>
      <c r="I432" s="930"/>
      <c r="J432" s="931"/>
      <c r="K432" s="930"/>
      <c r="L432" s="930"/>
      <c r="M432" s="930"/>
      <c r="N432" s="930"/>
      <c r="O432" s="4"/>
    </row>
    <row r="433" spans="1:16">
      <c r="D433" s="78"/>
      <c r="E433" s="4"/>
      <c r="F433" s="4"/>
      <c r="G433" s="4"/>
      <c r="H433" s="930"/>
      <c r="I433" s="930"/>
      <c r="J433" s="931"/>
      <c r="K433" s="930"/>
      <c r="L433" s="930"/>
      <c r="M433" s="930"/>
      <c r="N433" s="930"/>
      <c r="O433" s="4"/>
    </row>
    <row r="434" spans="1:16">
      <c r="C434" s="4" t="s">
        <v>601</v>
      </c>
      <c r="D434" s="471"/>
      <c r="E434" s="471"/>
      <c r="F434" s="471"/>
      <c r="G434" s="931"/>
      <c r="H434" s="931"/>
      <c r="I434" s="473"/>
      <c r="J434" s="473"/>
      <c r="K434" s="473"/>
      <c r="L434" s="473"/>
      <c r="M434" s="473"/>
      <c r="N434" s="473"/>
      <c r="O434" s="4"/>
    </row>
    <row r="435" spans="1:16">
      <c r="C435" s="4" t="s">
        <v>476</v>
      </c>
      <c r="D435" s="471"/>
      <c r="E435" s="471"/>
      <c r="F435" s="471"/>
      <c r="G435" s="931"/>
      <c r="H435" s="931"/>
      <c r="I435" s="473"/>
      <c r="J435" s="473"/>
      <c r="K435" s="473"/>
      <c r="L435" s="473"/>
      <c r="M435" s="473"/>
      <c r="N435" s="473"/>
      <c r="O435" s="4"/>
    </row>
    <row r="436" spans="1:16">
      <c r="C436" s="4" t="s">
        <v>289</v>
      </c>
      <c r="D436" s="471"/>
      <c r="E436" s="471"/>
      <c r="F436" s="471"/>
      <c r="G436" s="931"/>
      <c r="H436" s="931"/>
      <c r="I436" s="473"/>
      <c r="J436" s="473"/>
      <c r="K436" s="473"/>
      <c r="L436" s="473"/>
      <c r="M436" s="473"/>
      <c r="N436" s="473"/>
      <c r="O436" s="4"/>
    </row>
    <row r="437" spans="1:16">
      <c r="C437" s="472"/>
      <c r="D437" s="471"/>
      <c r="E437" s="471"/>
      <c r="F437" s="471"/>
      <c r="G437" s="931"/>
      <c r="H437" s="931"/>
      <c r="I437" s="473"/>
      <c r="J437" s="473"/>
      <c r="K437" s="473"/>
      <c r="L437" s="473"/>
      <c r="M437" s="473"/>
      <c r="N437" s="473"/>
      <c r="O437" s="4"/>
    </row>
    <row r="438" spans="1:16">
      <c r="C438" s="1303" t="s">
        <v>460</v>
      </c>
      <c r="D438" s="1303"/>
      <c r="E438" s="1303"/>
      <c r="F438" s="1303"/>
      <c r="G438" s="1303"/>
      <c r="H438" s="1303"/>
      <c r="I438" s="1303"/>
      <c r="J438" s="1303"/>
      <c r="K438" s="1303"/>
      <c r="L438" s="1303"/>
      <c r="M438" s="1303"/>
      <c r="N438" s="1303"/>
      <c r="O438" s="1303"/>
    </row>
    <row r="439" spans="1:16">
      <c r="C439" s="1303"/>
      <c r="D439" s="1303"/>
      <c r="E439" s="1303"/>
      <c r="F439" s="1303"/>
      <c r="G439" s="1303"/>
      <c r="H439" s="1303"/>
      <c r="I439" s="1303"/>
      <c r="J439" s="1303"/>
      <c r="K439" s="1303"/>
      <c r="L439" s="1303"/>
      <c r="M439" s="1303"/>
      <c r="N439" s="1303"/>
      <c r="O439" s="1303"/>
    </row>
    <row r="440" spans="1:16" ht="20.25">
      <c r="A440" s="413" t="s">
        <v>927</v>
      </c>
      <c r="B440" s="4"/>
      <c r="C440" s="4"/>
      <c r="D440" s="78"/>
      <c r="E440" s="4"/>
      <c r="F440" s="80"/>
      <c r="G440" s="4"/>
      <c r="H440" s="930"/>
      <c r="K440" s="11"/>
      <c r="L440" s="11"/>
      <c r="M440" s="11"/>
      <c r="N440" s="11" t="str">
        <f>"Page "&amp;SUM(P$6:P440)&amp;" of "</f>
        <v xml:space="preserve">Page 6 of </v>
      </c>
      <c r="O440" s="414">
        <f>COUNT(P$6:P$59606)</f>
        <v>14</v>
      </c>
      <c r="P440" s="4">
        <v>1</v>
      </c>
    </row>
    <row r="441" spans="1:16">
      <c r="B441" s="4"/>
      <c r="C441" s="4"/>
      <c r="D441" s="78"/>
      <c r="E441" s="4"/>
      <c r="F441" s="4"/>
      <c r="G441" s="4"/>
      <c r="H441" s="930"/>
      <c r="I441" s="4"/>
      <c r="J441" s="4"/>
      <c r="K441" s="4"/>
      <c r="L441" s="4"/>
      <c r="M441" s="4"/>
      <c r="N441" s="4"/>
      <c r="O441" s="4"/>
    </row>
    <row r="442" spans="1:16" ht="18">
      <c r="B442" s="415" t="s">
        <v>174</v>
      </c>
      <c r="C442" s="474" t="s">
        <v>290</v>
      </c>
      <c r="D442" s="78"/>
      <c r="E442" s="4"/>
      <c r="F442" s="4"/>
      <c r="G442" s="4"/>
      <c r="H442" s="930"/>
      <c r="I442" s="930"/>
      <c r="J442" s="931"/>
      <c r="K442" s="930"/>
      <c r="L442" s="930"/>
      <c r="M442" s="930"/>
      <c r="N442" s="930"/>
      <c r="O442" s="4"/>
    </row>
    <row r="443" spans="1:16" ht="18.75">
      <c r="B443" s="415"/>
      <c r="C443" s="13"/>
      <c r="D443" s="78"/>
      <c r="E443" s="4"/>
      <c r="F443" s="4"/>
      <c r="G443" s="4"/>
      <c r="H443" s="930"/>
      <c r="I443" s="930"/>
      <c r="J443" s="931"/>
      <c r="K443" s="930"/>
      <c r="L443" s="930"/>
      <c r="M443" s="930"/>
      <c r="N443" s="930"/>
      <c r="O443" s="4"/>
    </row>
    <row r="444" spans="1:16" ht="18.75">
      <c r="B444" s="415"/>
      <c r="C444" s="13" t="s">
        <v>291</v>
      </c>
      <c r="D444" s="78"/>
      <c r="E444" s="4"/>
      <c r="F444" s="4"/>
      <c r="G444" s="4"/>
      <c r="H444" s="930"/>
      <c r="I444" s="930"/>
      <c r="J444" s="931"/>
      <c r="K444" s="930"/>
      <c r="L444" s="930"/>
      <c r="M444" s="930"/>
      <c r="N444" s="930"/>
      <c r="O444" s="4"/>
    </row>
    <row r="445" spans="1:16" ht="15.75" thickBot="1">
      <c r="C445" s="250"/>
      <c r="D445" s="78"/>
      <c r="E445" s="4"/>
      <c r="F445" s="4"/>
      <c r="G445" s="4"/>
      <c r="H445" s="930"/>
      <c r="I445" s="930"/>
      <c r="J445" s="931"/>
      <c r="K445" s="930"/>
      <c r="L445" s="930"/>
      <c r="M445" s="930"/>
      <c r="N445" s="930"/>
      <c r="O445" s="4"/>
    </row>
    <row r="446" spans="1:16" ht="15.75">
      <c r="C446" s="416" t="s">
        <v>292</v>
      </c>
      <c r="D446" s="78"/>
      <c r="E446" s="4"/>
      <c r="F446" s="4"/>
      <c r="G446" s="932"/>
      <c r="H446" s="4" t="s">
        <v>271</v>
      </c>
      <c r="I446" s="4"/>
      <c r="J446" s="4"/>
      <c r="K446" s="475" t="s">
        <v>296</v>
      </c>
      <c r="L446" s="476"/>
      <c r="M446" s="477"/>
      <c r="N446" s="933">
        <f>VLOOKUP(I452,C459:O518,5)</f>
        <v>1909178.7878027095</v>
      </c>
      <c r="O446" s="4"/>
    </row>
    <row r="447" spans="1:16" ht="15.75">
      <c r="C447" s="416"/>
      <c r="D447" s="78"/>
      <c r="E447" s="4"/>
      <c r="F447" s="4"/>
      <c r="G447" s="4"/>
      <c r="H447" s="934"/>
      <c r="I447" s="934"/>
      <c r="J447" s="935"/>
      <c r="K447" s="480" t="s">
        <v>297</v>
      </c>
      <c r="L447" s="936"/>
      <c r="M447" s="4"/>
      <c r="N447" s="937">
        <f>VLOOKUP(I452,C459:O518,6)</f>
        <v>1909178.7878027095</v>
      </c>
      <c r="O447" s="4"/>
    </row>
    <row r="448" spans="1:16" ht="13.5" thickBot="1">
      <c r="C448" s="481" t="s">
        <v>293</v>
      </c>
      <c r="D448" s="1304" t="s">
        <v>933</v>
      </c>
      <c r="E448" s="1304"/>
      <c r="F448" s="1304"/>
      <c r="G448" s="1304"/>
      <c r="H448" s="1304"/>
      <c r="I448" s="930"/>
      <c r="J448" s="931"/>
      <c r="K448" s="938" t="s">
        <v>450</v>
      </c>
      <c r="L448" s="939"/>
      <c r="M448" s="939"/>
      <c r="N448" s="940">
        <f>+N447-N446</f>
        <v>0</v>
      </c>
      <c r="O448" s="4"/>
    </row>
    <row r="449" spans="1:15">
      <c r="C449" s="483"/>
      <c r="D449" s="484"/>
      <c r="E449" s="471"/>
      <c r="F449" s="471"/>
      <c r="G449" s="485"/>
      <c r="H449" s="930"/>
      <c r="I449" s="930"/>
      <c r="J449" s="931"/>
      <c r="K449" s="930"/>
      <c r="L449" s="930"/>
      <c r="M449" s="930"/>
      <c r="N449" s="930"/>
      <c r="O449" s="4"/>
    </row>
    <row r="450" spans="1:15" ht="13.5" thickBot="1">
      <c r="C450" s="483"/>
      <c r="D450" s="4"/>
      <c r="E450" s="485"/>
      <c r="F450" s="485"/>
      <c r="G450" s="485"/>
      <c r="H450" s="485"/>
      <c r="I450" s="485"/>
      <c r="J450" s="485"/>
      <c r="K450" s="485"/>
      <c r="L450" s="485"/>
      <c r="M450" s="485"/>
      <c r="N450" s="485"/>
      <c r="O450" s="4"/>
    </row>
    <row r="451" spans="1:15" ht="13.5" thickBot="1">
      <c r="C451" s="487" t="s">
        <v>294</v>
      </c>
      <c r="D451" s="488"/>
      <c r="E451" s="488"/>
      <c r="F451" s="488"/>
      <c r="G451" s="488"/>
      <c r="H451" s="488"/>
      <c r="I451" s="489"/>
      <c r="K451" s="4"/>
      <c r="L451" s="4"/>
      <c r="M451" s="4"/>
      <c r="N451" s="4"/>
      <c r="O451" s="4"/>
    </row>
    <row r="452" spans="1:15" ht="15">
      <c r="C452" s="490" t="s">
        <v>272</v>
      </c>
      <c r="D452" s="941">
        <v>15164191</v>
      </c>
      <c r="E452" s="4" t="s">
        <v>273</v>
      </c>
      <c r="G452" s="78"/>
      <c r="H452" s="78"/>
      <c r="I452" s="491">
        <v>2018</v>
      </c>
      <c r="J452" s="134"/>
      <c r="K452" s="1302" t="s">
        <v>459</v>
      </c>
      <c r="L452" s="1302"/>
      <c r="M452" s="1302"/>
      <c r="N452" s="1302"/>
      <c r="O452" s="1302"/>
    </row>
    <row r="453" spans="1:15">
      <c r="C453" s="490" t="s">
        <v>275</v>
      </c>
      <c r="D453" s="644">
        <v>2015</v>
      </c>
      <c r="E453" s="490" t="s">
        <v>276</v>
      </c>
      <c r="F453" s="78"/>
      <c r="H453"/>
      <c r="I453" s="647">
        <f>IF(G446="",0,$F$15)</f>
        <v>0</v>
      </c>
      <c r="J453" s="492"/>
      <c r="K453" s="931" t="s">
        <v>459</v>
      </c>
    </row>
    <row r="454" spans="1:15">
      <c r="C454" s="490" t="s">
        <v>277</v>
      </c>
      <c r="D454" s="942">
        <v>5</v>
      </c>
      <c r="E454" s="490" t="s">
        <v>278</v>
      </c>
      <c r="F454" s="78"/>
      <c r="H454"/>
      <c r="I454" s="493">
        <f>$G$70</f>
        <v>0.11017952320434825</v>
      </c>
      <c r="J454" s="80"/>
      <c r="K454" t="str">
        <f>"          INPUT PROJECTED ARR (WITH &amp; WITHOUT INCENTIVES) FROM EACH PRIOR YEAR"</f>
        <v xml:space="preserve">          INPUT PROJECTED ARR (WITH &amp; WITHOUT INCENTIVES) FROM EACH PRIOR YEAR</v>
      </c>
    </row>
    <row r="455" spans="1:15">
      <c r="C455" s="490" t="s">
        <v>279</v>
      </c>
      <c r="D455" s="494">
        <f>G$79</f>
        <v>42</v>
      </c>
      <c r="E455" s="490" t="s">
        <v>280</v>
      </c>
      <c r="F455" s="78"/>
      <c r="H455"/>
      <c r="I455" s="493">
        <f>IF(G446="",I454,$G$67)</f>
        <v>0.11017952320434825</v>
      </c>
      <c r="J455" s="80"/>
      <c r="K455" t="s">
        <v>357</v>
      </c>
    </row>
    <row r="456" spans="1:15" ht="13.5" thickBot="1">
      <c r="C456" s="490" t="s">
        <v>281</v>
      </c>
      <c r="D456" s="646" t="s">
        <v>929</v>
      </c>
      <c r="E456" s="495" t="s">
        <v>282</v>
      </c>
      <c r="F456" s="496"/>
      <c r="G456" s="497"/>
      <c r="H456" s="497"/>
      <c r="I456" s="940">
        <f>IF(D452=0,0,D452/D455)</f>
        <v>361052.16666666669</v>
      </c>
      <c r="J456" s="931"/>
      <c r="K456" s="931" t="s">
        <v>363</v>
      </c>
      <c r="L456" s="931"/>
      <c r="M456" s="931"/>
      <c r="N456" s="931"/>
      <c r="O456" s="4"/>
    </row>
    <row r="457" spans="1:15" ht="51">
      <c r="A457" s="12"/>
      <c r="B457" s="12"/>
      <c r="C457" s="498" t="s">
        <v>272</v>
      </c>
      <c r="D457" s="943" t="s">
        <v>283</v>
      </c>
      <c r="E457" s="944" t="s">
        <v>284</v>
      </c>
      <c r="F457" s="943" t="s">
        <v>285</v>
      </c>
      <c r="G457" s="944" t="s">
        <v>356</v>
      </c>
      <c r="H457" s="945" t="s">
        <v>356</v>
      </c>
      <c r="I457" s="498" t="s">
        <v>295</v>
      </c>
      <c r="J457" s="502"/>
      <c r="K457" s="944" t="s">
        <v>365</v>
      </c>
      <c r="L457" s="946"/>
      <c r="M457" s="944" t="s">
        <v>365</v>
      </c>
      <c r="N457" s="946"/>
      <c r="O457" s="946"/>
    </row>
    <row r="458" spans="1:15" ht="13.5" thickBot="1">
      <c r="C458" s="503" t="s">
        <v>177</v>
      </c>
      <c r="D458" s="504" t="s">
        <v>178</v>
      </c>
      <c r="E458" s="503" t="s">
        <v>37</v>
      </c>
      <c r="F458" s="504" t="s">
        <v>178</v>
      </c>
      <c r="G458" s="947" t="s">
        <v>298</v>
      </c>
      <c r="H458" s="948" t="s">
        <v>300</v>
      </c>
      <c r="I458" s="503" t="s">
        <v>389</v>
      </c>
      <c r="J458" s="507"/>
      <c r="K458" s="966" t="s">
        <v>287</v>
      </c>
      <c r="L458" s="949"/>
      <c r="M458" s="966" t="s">
        <v>300</v>
      </c>
      <c r="N458" s="949"/>
      <c r="O458" s="949"/>
    </row>
    <row r="459" spans="1:15">
      <c r="C459" s="508">
        <f>IF(D453= "","-",D453)</f>
        <v>2015</v>
      </c>
      <c r="D459" s="471">
        <f>+D452</f>
        <v>15164191</v>
      </c>
      <c r="E459" s="950">
        <f>+I456/12*(12-D454)</f>
        <v>210613.76388888891</v>
      </c>
      <c r="F459" s="471">
        <f t="shared" ref="F459:F518" si="24">+D459-E459</f>
        <v>14953577.236111112</v>
      </c>
      <c r="G459" s="951">
        <f>+$I$454*((D459+F459)/2)+E459</f>
        <v>1869794.4360057823</v>
      </c>
      <c r="H459" s="952">
        <f>+$I$455*((D459+F459)/2)+E459</f>
        <v>1869794.4360057823</v>
      </c>
      <c r="I459" s="512">
        <f t="shared" ref="I459:I518" si="25">+H459-G459</f>
        <v>0</v>
      </c>
      <c r="J459" s="967"/>
      <c r="K459" s="968">
        <v>2647738</v>
      </c>
      <c r="L459" s="969"/>
      <c r="M459" s="968">
        <v>2647738</v>
      </c>
      <c r="N459" s="970"/>
      <c r="O459" s="514"/>
    </row>
    <row r="460" spans="1:15">
      <c r="C460" s="508">
        <f>IF(D453="","-",+C459+1)</f>
        <v>2016</v>
      </c>
      <c r="D460" s="471">
        <f t="shared" ref="D460:D518" si="26">F459</f>
        <v>14953577.236111112</v>
      </c>
      <c r="E460" s="515">
        <f>IF(D460&gt;$I$456,$I$456,D460)</f>
        <v>361052.16666666669</v>
      </c>
      <c r="F460" s="471">
        <f t="shared" si="24"/>
        <v>14592525.069444446</v>
      </c>
      <c r="G460" s="950">
        <f t="shared" ref="G460:G518" si="27">+$I$454*((D460+F460)/2)+E460</f>
        <v>1988739.8989531698</v>
      </c>
      <c r="H460" s="953">
        <f t="shared" ref="H460:H518" si="28">+$I$455*((D460+F460)/2)+E460</f>
        <v>1988739.8989531698</v>
      </c>
      <c r="I460" s="512">
        <f t="shared" si="25"/>
        <v>0</v>
      </c>
      <c r="J460" s="967"/>
      <c r="K460" s="968">
        <v>2089493</v>
      </c>
      <c r="L460" s="971"/>
      <c r="M460" s="968">
        <v>2089493</v>
      </c>
      <c r="N460" s="972"/>
      <c r="O460" s="518"/>
    </row>
    <row r="461" spans="1:15">
      <c r="C461" s="508">
        <f>IF(D453="","-",+C460+1)</f>
        <v>2017</v>
      </c>
      <c r="D461" s="471">
        <f t="shared" si="26"/>
        <v>14592525.069444446</v>
      </c>
      <c r="E461" s="515">
        <f t="shared" ref="E461:E518" si="29">IF(D461&gt;$I$456,$I$456,D461)</f>
        <v>361052.16666666669</v>
      </c>
      <c r="F461" s="471">
        <f t="shared" si="24"/>
        <v>14231472.90277778</v>
      </c>
      <c r="G461" s="950">
        <f t="shared" si="27"/>
        <v>1948959.3433779394</v>
      </c>
      <c r="H461" s="953">
        <f t="shared" si="28"/>
        <v>1948959.3433779394</v>
      </c>
      <c r="I461" s="512">
        <f t="shared" si="25"/>
        <v>0</v>
      </c>
      <c r="J461" s="512"/>
      <c r="K461" s="649">
        <v>2647738</v>
      </c>
      <c r="L461" s="963"/>
      <c r="M461" s="649">
        <v>2647738</v>
      </c>
      <c r="N461" s="518"/>
      <c r="O461" s="518"/>
    </row>
    <row r="462" spans="1:15">
      <c r="C462" s="954">
        <f>IF(D453="","-",+C461+1)</f>
        <v>2018</v>
      </c>
      <c r="D462" s="955">
        <f t="shared" si="26"/>
        <v>14231472.90277778</v>
      </c>
      <c r="E462" s="956">
        <f t="shared" si="29"/>
        <v>361052.16666666669</v>
      </c>
      <c r="F462" s="955">
        <f t="shared" si="24"/>
        <v>13870420.736111114</v>
      </c>
      <c r="G462" s="957">
        <f t="shared" si="27"/>
        <v>1909178.7878027095</v>
      </c>
      <c r="H462" s="958">
        <f t="shared" si="28"/>
        <v>1909178.7878027095</v>
      </c>
      <c r="I462" s="964">
        <f t="shared" si="25"/>
        <v>0</v>
      </c>
      <c r="J462" s="512"/>
      <c r="K462" s="649"/>
      <c r="L462" s="518"/>
      <c r="M462" s="649"/>
      <c r="N462" s="518"/>
      <c r="O462" s="518"/>
    </row>
    <row r="463" spans="1:15">
      <c r="C463" s="508">
        <f>IF(D453="","-",+C462+1)</f>
        <v>2019</v>
      </c>
      <c r="D463" s="471">
        <f t="shared" si="26"/>
        <v>13870420.736111114</v>
      </c>
      <c r="E463" s="515">
        <f t="shared" si="29"/>
        <v>361052.16666666669</v>
      </c>
      <c r="F463" s="471">
        <f t="shared" si="24"/>
        <v>13509368.569444448</v>
      </c>
      <c r="G463" s="950">
        <f t="shared" si="27"/>
        <v>1869398.2322274791</v>
      </c>
      <c r="H463" s="953">
        <f t="shared" si="28"/>
        <v>1869398.2322274791</v>
      </c>
      <c r="I463" s="512">
        <f t="shared" si="25"/>
        <v>0</v>
      </c>
      <c r="J463" s="512"/>
      <c r="K463" s="649"/>
      <c r="L463" s="518"/>
      <c r="M463" s="649"/>
      <c r="N463" s="518"/>
      <c r="O463" s="518"/>
    </row>
    <row r="464" spans="1:15">
      <c r="C464" s="508">
        <f>IF(D453="","-",+C463+1)</f>
        <v>2020</v>
      </c>
      <c r="D464" s="471">
        <f t="shared" si="26"/>
        <v>13509368.569444448</v>
      </c>
      <c r="E464" s="515">
        <f t="shared" si="29"/>
        <v>361052.16666666669</v>
      </c>
      <c r="F464" s="471">
        <f t="shared" si="24"/>
        <v>13148316.402777782</v>
      </c>
      <c r="G464" s="950">
        <f t="shared" si="27"/>
        <v>1829617.6766522492</v>
      </c>
      <c r="H464" s="953">
        <f t="shared" si="28"/>
        <v>1829617.6766522492</v>
      </c>
      <c r="I464" s="512">
        <f t="shared" si="25"/>
        <v>0</v>
      </c>
      <c r="J464" s="512"/>
      <c r="K464" s="649"/>
      <c r="L464" s="518"/>
      <c r="M464" s="649"/>
      <c r="N464" s="518"/>
      <c r="O464" s="518"/>
    </row>
    <row r="465" spans="3:15">
      <c r="C465" s="508">
        <f>IF(D453="","-",+C464+1)</f>
        <v>2021</v>
      </c>
      <c r="D465" s="471">
        <f t="shared" si="26"/>
        <v>13148316.402777782</v>
      </c>
      <c r="E465" s="515">
        <f t="shared" si="29"/>
        <v>361052.16666666669</v>
      </c>
      <c r="F465" s="471">
        <f t="shared" si="24"/>
        <v>12787264.236111116</v>
      </c>
      <c r="G465" s="950">
        <f t="shared" si="27"/>
        <v>1789837.1210770188</v>
      </c>
      <c r="H465" s="953">
        <f t="shared" si="28"/>
        <v>1789837.1210770188</v>
      </c>
      <c r="I465" s="512">
        <f t="shared" si="25"/>
        <v>0</v>
      </c>
      <c r="J465" s="512"/>
      <c r="K465" s="649"/>
      <c r="L465" s="518"/>
      <c r="M465" s="649"/>
      <c r="N465" s="518"/>
      <c r="O465" s="518"/>
    </row>
    <row r="466" spans="3:15">
      <c r="C466" s="508">
        <f>IF(D453="","-",+C465+1)</f>
        <v>2022</v>
      </c>
      <c r="D466" s="471">
        <f t="shared" si="26"/>
        <v>12787264.236111116</v>
      </c>
      <c r="E466" s="515">
        <f t="shared" si="29"/>
        <v>361052.16666666669</v>
      </c>
      <c r="F466" s="471">
        <f t="shared" si="24"/>
        <v>12426212.06944445</v>
      </c>
      <c r="G466" s="950">
        <f t="shared" si="27"/>
        <v>1750056.5655017889</v>
      </c>
      <c r="H466" s="953">
        <f t="shared" si="28"/>
        <v>1750056.5655017889</v>
      </c>
      <c r="I466" s="512">
        <f t="shared" si="25"/>
        <v>0</v>
      </c>
      <c r="J466" s="512"/>
      <c r="K466" s="649"/>
      <c r="L466" s="518"/>
      <c r="M466" s="649"/>
      <c r="N466" s="518"/>
      <c r="O466" s="518"/>
    </row>
    <row r="467" spans="3:15">
      <c r="C467" s="508">
        <f>IF(D453="","-",+C466+1)</f>
        <v>2023</v>
      </c>
      <c r="D467" s="471">
        <f t="shared" si="26"/>
        <v>12426212.06944445</v>
      </c>
      <c r="E467" s="515">
        <f t="shared" si="29"/>
        <v>361052.16666666669</v>
      </c>
      <c r="F467" s="471">
        <f t="shared" si="24"/>
        <v>12065159.902777784</v>
      </c>
      <c r="G467" s="950">
        <f t="shared" si="27"/>
        <v>1710276.0099265585</v>
      </c>
      <c r="H467" s="953">
        <f t="shared" si="28"/>
        <v>1710276.0099265585</v>
      </c>
      <c r="I467" s="512">
        <f t="shared" si="25"/>
        <v>0</v>
      </c>
      <c r="J467" s="512"/>
      <c r="K467" s="649"/>
      <c r="L467" s="518"/>
      <c r="M467" s="649"/>
      <c r="N467" s="518"/>
      <c r="O467" s="518"/>
    </row>
    <row r="468" spans="3:15">
      <c r="C468" s="508">
        <f>IF(D453="","-",+C467+1)</f>
        <v>2024</v>
      </c>
      <c r="D468" s="471">
        <f t="shared" si="26"/>
        <v>12065159.902777784</v>
      </c>
      <c r="E468" s="515">
        <f t="shared" si="29"/>
        <v>361052.16666666669</v>
      </c>
      <c r="F468" s="471">
        <f t="shared" si="24"/>
        <v>11704107.736111118</v>
      </c>
      <c r="G468" s="950">
        <f t="shared" si="27"/>
        <v>1670495.4543513285</v>
      </c>
      <c r="H468" s="953">
        <f t="shared" si="28"/>
        <v>1670495.4543513285</v>
      </c>
      <c r="I468" s="512">
        <f t="shared" si="25"/>
        <v>0</v>
      </c>
      <c r="J468" s="512"/>
      <c r="K468" s="649"/>
      <c r="L468" s="518"/>
      <c r="M468" s="649"/>
      <c r="N468" s="518"/>
      <c r="O468" s="518"/>
    </row>
    <row r="469" spans="3:15">
      <c r="C469" s="508">
        <f>IF(D453="","-",+C468+1)</f>
        <v>2025</v>
      </c>
      <c r="D469" s="471">
        <f t="shared" si="26"/>
        <v>11704107.736111118</v>
      </c>
      <c r="E469" s="515">
        <f t="shared" si="29"/>
        <v>361052.16666666669</v>
      </c>
      <c r="F469" s="471">
        <f t="shared" si="24"/>
        <v>11343055.569444451</v>
      </c>
      <c r="G469" s="950">
        <f t="shared" si="27"/>
        <v>1630714.8987760984</v>
      </c>
      <c r="H469" s="953">
        <f t="shared" si="28"/>
        <v>1630714.8987760984</v>
      </c>
      <c r="I469" s="512">
        <f t="shared" si="25"/>
        <v>0</v>
      </c>
      <c r="J469" s="512"/>
      <c r="K469" s="649"/>
      <c r="L469" s="518"/>
      <c r="M469" s="649"/>
      <c r="N469" s="518"/>
      <c r="O469" s="518"/>
    </row>
    <row r="470" spans="3:15">
      <c r="C470" s="508">
        <f>IF(D453="","-",+C469+1)</f>
        <v>2026</v>
      </c>
      <c r="D470" s="471">
        <f t="shared" si="26"/>
        <v>11343055.569444451</v>
      </c>
      <c r="E470" s="515">
        <f t="shared" si="29"/>
        <v>361052.16666666669</v>
      </c>
      <c r="F470" s="471">
        <f t="shared" si="24"/>
        <v>10982003.402777785</v>
      </c>
      <c r="G470" s="950">
        <f t="shared" si="27"/>
        <v>1590934.3432008685</v>
      </c>
      <c r="H470" s="953">
        <f t="shared" si="28"/>
        <v>1590934.3432008685</v>
      </c>
      <c r="I470" s="512">
        <f t="shared" si="25"/>
        <v>0</v>
      </c>
      <c r="J470" s="512"/>
      <c r="K470" s="649"/>
      <c r="L470" s="518"/>
      <c r="M470" s="649"/>
      <c r="N470" s="518"/>
      <c r="O470" s="518"/>
    </row>
    <row r="471" spans="3:15">
      <c r="C471" s="508">
        <f>IF(D453="","-",+C470+1)</f>
        <v>2027</v>
      </c>
      <c r="D471" s="471">
        <f t="shared" si="26"/>
        <v>10982003.402777785</v>
      </c>
      <c r="E471" s="515">
        <f t="shared" si="29"/>
        <v>361052.16666666669</v>
      </c>
      <c r="F471" s="471">
        <f t="shared" si="24"/>
        <v>10620951.236111119</v>
      </c>
      <c r="G471" s="950">
        <f t="shared" si="27"/>
        <v>1551153.7876256381</v>
      </c>
      <c r="H471" s="953">
        <f t="shared" si="28"/>
        <v>1551153.7876256381</v>
      </c>
      <c r="I471" s="512">
        <f t="shared" si="25"/>
        <v>0</v>
      </c>
      <c r="J471" s="512"/>
      <c r="K471" s="649"/>
      <c r="L471" s="518"/>
      <c r="M471" s="649"/>
      <c r="N471" s="519"/>
      <c r="O471" s="518"/>
    </row>
    <row r="472" spans="3:15">
      <c r="C472" s="508">
        <f>IF(D453="","-",+C471+1)</f>
        <v>2028</v>
      </c>
      <c r="D472" s="471">
        <f t="shared" si="26"/>
        <v>10620951.236111119</v>
      </c>
      <c r="E472" s="515">
        <f t="shared" si="29"/>
        <v>361052.16666666669</v>
      </c>
      <c r="F472" s="471">
        <f t="shared" si="24"/>
        <v>10259899.069444453</v>
      </c>
      <c r="G472" s="950">
        <f t="shared" si="27"/>
        <v>1511373.2320504081</v>
      </c>
      <c r="H472" s="953">
        <f t="shared" si="28"/>
        <v>1511373.2320504081</v>
      </c>
      <c r="I472" s="512">
        <f t="shared" si="25"/>
        <v>0</v>
      </c>
      <c r="J472" s="512"/>
      <c r="K472" s="649"/>
      <c r="L472" s="518"/>
      <c r="M472" s="649"/>
      <c r="N472" s="518"/>
      <c r="O472" s="518"/>
    </row>
    <row r="473" spans="3:15">
      <c r="C473" s="508">
        <f>IF(D453="","-",+C472+1)</f>
        <v>2029</v>
      </c>
      <c r="D473" s="471">
        <f t="shared" si="26"/>
        <v>10259899.069444453</v>
      </c>
      <c r="E473" s="515">
        <f t="shared" si="29"/>
        <v>361052.16666666669</v>
      </c>
      <c r="F473" s="471">
        <f t="shared" si="24"/>
        <v>9898846.9027777873</v>
      </c>
      <c r="G473" s="950">
        <f t="shared" si="27"/>
        <v>1471592.6764751778</v>
      </c>
      <c r="H473" s="953">
        <f t="shared" si="28"/>
        <v>1471592.6764751778</v>
      </c>
      <c r="I473" s="512">
        <f t="shared" si="25"/>
        <v>0</v>
      </c>
      <c r="J473" s="512"/>
      <c r="K473" s="649"/>
      <c r="L473" s="518"/>
      <c r="M473" s="649"/>
      <c r="N473" s="518"/>
      <c r="O473" s="518"/>
    </row>
    <row r="474" spans="3:15">
      <c r="C474" s="508">
        <f>IF(D453="","-",+C473+1)</f>
        <v>2030</v>
      </c>
      <c r="D474" s="471">
        <f t="shared" si="26"/>
        <v>9898846.9027777873</v>
      </c>
      <c r="E474" s="515">
        <f t="shared" si="29"/>
        <v>361052.16666666669</v>
      </c>
      <c r="F474" s="471">
        <f t="shared" si="24"/>
        <v>9537794.7361111213</v>
      </c>
      <c r="G474" s="950">
        <f t="shared" si="27"/>
        <v>1431812.1208999478</v>
      </c>
      <c r="H474" s="953">
        <f t="shared" si="28"/>
        <v>1431812.1208999478</v>
      </c>
      <c r="I474" s="512">
        <f t="shared" si="25"/>
        <v>0</v>
      </c>
      <c r="J474" s="512"/>
      <c r="K474" s="649"/>
      <c r="L474" s="518"/>
      <c r="M474" s="649"/>
      <c r="N474" s="518"/>
      <c r="O474" s="518"/>
    </row>
    <row r="475" spans="3:15">
      <c r="C475" s="508">
        <f>IF(D453="","-",+C474+1)</f>
        <v>2031</v>
      </c>
      <c r="D475" s="471">
        <f t="shared" si="26"/>
        <v>9537794.7361111213</v>
      </c>
      <c r="E475" s="515">
        <f t="shared" si="29"/>
        <v>361052.16666666669</v>
      </c>
      <c r="F475" s="471">
        <f t="shared" si="24"/>
        <v>9176742.5694444552</v>
      </c>
      <c r="G475" s="950">
        <f t="shared" si="27"/>
        <v>1392031.5653247174</v>
      </c>
      <c r="H475" s="953">
        <f t="shared" si="28"/>
        <v>1392031.5653247174</v>
      </c>
      <c r="I475" s="512">
        <f t="shared" si="25"/>
        <v>0</v>
      </c>
      <c r="J475" s="512"/>
      <c r="K475" s="649"/>
      <c r="L475" s="518"/>
      <c r="M475" s="649"/>
      <c r="N475" s="518"/>
      <c r="O475" s="518"/>
    </row>
    <row r="476" spans="3:15">
      <c r="C476" s="508">
        <f>IF(D453="","-",+C475+1)</f>
        <v>2032</v>
      </c>
      <c r="D476" s="471">
        <f t="shared" si="26"/>
        <v>9176742.5694444552</v>
      </c>
      <c r="E476" s="515">
        <f t="shared" si="29"/>
        <v>361052.16666666669</v>
      </c>
      <c r="F476" s="471">
        <f t="shared" si="24"/>
        <v>8815690.4027777892</v>
      </c>
      <c r="G476" s="950">
        <f t="shared" si="27"/>
        <v>1352251.0097494875</v>
      </c>
      <c r="H476" s="953">
        <f t="shared" si="28"/>
        <v>1352251.0097494875</v>
      </c>
      <c r="I476" s="512">
        <f t="shared" si="25"/>
        <v>0</v>
      </c>
      <c r="J476" s="512"/>
      <c r="K476" s="649"/>
      <c r="L476" s="518"/>
      <c r="M476" s="649"/>
      <c r="N476" s="518"/>
      <c r="O476" s="518"/>
    </row>
    <row r="477" spans="3:15">
      <c r="C477" s="508">
        <f>IF(D453="","-",+C476+1)</f>
        <v>2033</v>
      </c>
      <c r="D477" s="471">
        <f t="shared" si="26"/>
        <v>8815690.4027777892</v>
      </c>
      <c r="E477" s="515">
        <f t="shared" si="29"/>
        <v>361052.16666666669</v>
      </c>
      <c r="F477" s="471">
        <f t="shared" si="24"/>
        <v>8454638.2361111231</v>
      </c>
      <c r="G477" s="950">
        <f t="shared" si="27"/>
        <v>1312470.4541742571</v>
      </c>
      <c r="H477" s="953">
        <f t="shared" si="28"/>
        <v>1312470.4541742571</v>
      </c>
      <c r="I477" s="512">
        <f t="shared" si="25"/>
        <v>0</v>
      </c>
      <c r="J477" s="512"/>
      <c r="K477" s="649"/>
      <c r="L477" s="518"/>
      <c r="M477" s="649"/>
      <c r="N477" s="518"/>
      <c r="O477" s="518"/>
    </row>
    <row r="478" spans="3:15">
      <c r="C478" s="508">
        <f>IF(D453="","-",+C477+1)</f>
        <v>2034</v>
      </c>
      <c r="D478" s="471">
        <f t="shared" si="26"/>
        <v>8454638.2361111231</v>
      </c>
      <c r="E478" s="515">
        <f t="shared" si="29"/>
        <v>361052.16666666669</v>
      </c>
      <c r="F478" s="471">
        <f t="shared" si="24"/>
        <v>8093586.0694444561</v>
      </c>
      <c r="G478" s="950">
        <f t="shared" si="27"/>
        <v>1272689.898599027</v>
      </c>
      <c r="H478" s="953">
        <f t="shared" si="28"/>
        <v>1272689.898599027</v>
      </c>
      <c r="I478" s="512">
        <f t="shared" si="25"/>
        <v>0</v>
      </c>
      <c r="J478" s="512"/>
      <c r="K478" s="649"/>
      <c r="L478" s="518"/>
      <c r="M478" s="649"/>
      <c r="N478" s="518"/>
      <c r="O478" s="518"/>
    </row>
    <row r="479" spans="3:15">
      <c r="C479" s="508">
        <f>IF(D453="","-",+C478+1)</f>
        <v>2035</v>
      </c>
      <c r="D479" s="471">
        <f t="shared" si="26"/>
        <v>8093586.0694444561</v>
      </c>
      <c r="E479" s="515">
        <f t="shared" si="29"/>
        <v>361052.16666666669</v>
      </c>
      <c r="F479" s="471">
        <f t="shared" si="24"/>
        <v>7732533.9027777892</v>
      </c>
      <c r="G479" s="950">
        <f t="shared" si="27"/>
        <v>1232909.3430237968</v>
      </c>
      <c r="H479" s="953">
        <f t="shared" si="28"/>
        <v>1232909.3430237968</v>
      </c>
      <c r="I479" s="512">
        <f t="shared" si="25"/>
        <v>0</v>
      </c>
      <c r="J479" s="512"/>
      <c r="K479" s="649"/>
      <c r="L479" s="518"/>
      <c r="M479" s="649"/>
      <c r="N479" s="518"/>
      <c r="O479" s="518"/>
    </row>
    <row r="480" spans="3:15">
      <c r="C480" s="508">
        <f>IF(D453="","-",+C479+1)</f>
        <v>2036</v>
      </c>
      <c r="D480" s="471">
        <f t="shared" si="26"/>
        <v>7732533.9027777892</v>
      </c>
      <c r="E480" s="515">
        <f t="shared" si="29"/>
        <v>361052.16666666669</v>
      </c>
      <c r="F480" s="471">
        <f t="shared" si="24"/>
        <v>7371481.7361111222</v>
      </c>
      <c r="G480" s="950">
        <f t="shared" si="27"/>
        <v>1193128.7874485664</v>
      </c>
      <c r="H480" s="953">
        <f t="shared" si="28"/>
        <v>1193128.7874485664</v>
      </c>
      <c r="I480" s="512">
        <f t="shared" si="25"/>
        <v>0</v>
      </c>
      <c r="J480" s="512"/>
      <c r="K480" s="649"/>
      <c r="L480" s="518"/>
      <c r="M480" s="649"/>
      <c r="N480" s="518"/>
      <c r="O480" s="518"/>
    </row>
    <row r="481" spans="3:15">
      <c r="C481" s="508">
        <f>IF(D453="","-",+C480+1)</f>
        <v>2037</v>
      </c>
      <c r="D481" s="471">
        <f t="shared" si="26"/>
        <v>7371481.7361111222</v>
      </c>
      <c r="E481" s="515">
        <f t="shared" si="29"/>
        <v>361052.16666666669</v>
      </c>
      <c r="F481" s="471">
        <f t="shared" si="24"/>
        <v>7010429.5694444552</v>
      </c>
      <c r="G481" s="950">
        <f t="shared" si="27"/>
        <v>1153348.2318733362</v>
      </c>
      <c r="H481" s="953">
        <f t="shared" si="28"/>
        <v>1153348.2318733362</v>
      </c>
      <c r="I481" s="512">
        <f t="shared" si="25"/>
        <v>0</v>
      </c>
      <c r="J481" s="512"/>
      <c r="K481" s="649"/>
      <c r="L481" s="518"/>
      <c r="M481" s="649"/>
      <c r="N481" s="518"/>
      <c r="O481" s="518"/>
    </row>
    <row r="482" spans="3:15">
      <c r="C482" s="508">
        <f>IF(D453="","-",+C481+1)</f>
        <v>2038</v>
      </c>
      <c r="D482" s="471">
        <f t="shared" si="26"/>
        <v>7010429.5694444552</v>
      </c>
      <c r="E482" s="515">
        <f t="shared" si="29"/>
        <v>361052.16666666669</v>
      </c>
      <c r="F482" s="471">
        <f t="shared" si="24"/>
        <v>6649377.4027777882</v>
      </c>
      <c r="G482" s="950">
        <f t="shared" si="27"/>
        <v>1113567.6762981059</v>
      </c>
      <c r="H482" s="953">
        <f t="shared" si="28"/>
        <v>1113567.6762981059</v>
      </c>
      <c r="I482" s="512">
        <f t="shared" si="25"/>
        <v>0</v>
      </c>
      <c r="J482" s="512"/>
      <c r="K482" s="649"/>
      <c r="L482" s="518"/>
      <c r="M482" s="649"/>
      <c r="N482" s="518"/>
      <c r="O482" s="518"/>
    </row>
    <row r="483" spans="3:15">
      <c r="C483" s="508">
        <f>IF(D453="","-",+C482+1)</f>
        <v>2039</v>
      </c>
      <c r="D483" s="471">
        <f t="shared" si="26"/>
        <v>6649377.4027777882</v>
      </c>
      <c r="E483" s="515">
        <f t="shared" si="29"/>
        <v>361052.16666666669</v>
      </c>
      <c r="F483" s="471">
        <f t="shared" si="24"/>
        <v>6288325.2361111213</v>
      </c>
      <c r="G483" s="950">
        <f t="shared" si="27"/>
        <v>1073787.1207228759</v>
      </c>
      <c r="H483" s="953">
        <f t="shared" si="28"/>
        <v>1073787.1207228759</v>
      </c>
      <c r="I483" s="512">
        <f t="shared" si="25"/>
        <v>0</v>
      </c>
      <c r="J483" s="512"/>
      <c r="K483" s="649"/>
      <c r="L483" s="518"/>
      <c r="M483" s="649"/>
      <c r="N483" s="518"/>
      <c r="O483" s="518"/>
    </row>
    <row r="484" spans="3:15">
      <c r="C484" s="508">
        <f>IF(D453="","-",+C483+1)</f>
        <v>2040</v>
      </c>
      <c r="D484" s="471">
        <f t="shared" si="26"/>
        <v>6288325.2361111213</v>
      </c>
      <c r="E484" s="515">
        <f t="shared" si="29"/>
        <v>361052.16666666669</v>
      </c>
      <c r="F484" s="471">
        <f t="shared" si="24"/>
        <v>5927273.0694444543</v>
      </c>
      <c r="G484" s="950">
        <f t="shared" si="27"/>
        <v>1034006.5651476455</v>
      </c>
      <c r="H484" s="953">
        <f t="shared" si="28"/>
        <v>1034006.5651476455</v>
      </c>
      <c r="I484" s="512">
        <f t="shared" si="25"/>
        <v>0</v>
      </c>
      <c r="J484" s="512"/>
      <c r="K484" s="649"/>
      <c r="L484" s="518"/>
      <c r="M484" s="649"/>
      <c r="N484" s="518"/>
      <c r="O484" s="518"/>
    </row>
    <row r="485" spans="3:15">
      <c r="C485" s="508">
        <f>IF(D453="","-",+C484+1)</f>
        <v>2041</v>
      </c>
      <c r="D485" s="471">
        <f t="shared" si="26"/>
        <v>5927273.0694444543</v>
      </c>
      <c r="E485" s="515">
        <f t="shared" si="29"/>
        <v>361052.16666666669</v>
      </c>
      <c r="F485" s="471">
        <f t="shared" si="24"/>
        <v>5566220.9027777873</v>
      </c>
      <c r="G485" s="950">
        <f t="shared" si="27"/>
        <v>994226.00957241538</v>
      </c>
      <c r="H485" s="953">
        <f t="shared" si="28"/>
        <v>994226.00957241538</v>
      </c>
      <c r="I485" s="512">
        <f t="shared" si="25"/>
        <v>0</v>
      </c>
      <c r="J485" s="512"/>
      <c r="K485" s="649"/>
      <c r="L485" s="518"/>
      <c r="M485" s="649"/>
      <c r="N485" s="518"/>
      <c r="O485" s="518"/>
    </row>
    <row r="486" spans="3:15">
      <c r="C486" s="508">
        <f>IF(D453="","-",+C485+1)</f>
        <v>2042</v>
      </c>
      <c r="D486" s="471">
        <f t="shared" si="26"/>
        <v>5566220.9027777873</v>
      </c>
      <c r="E486" s="515">
        <f t="shared" si="29"/>
        <v>361052.16666666669</v>
      </c>
      <c r="F486" s="471">
        <f t="shared" si="24"/>
        <v>5205168.7361111203</v>
      </c>
      <c r="G486" s="950">
        <f t="shared" si="27"/>
        <v>954445.45399718499</v>
      </c>
      <c r="H486" s="953">
        <f t="shared" si="28"/>
        <v>954445.45399718499</v>
      </c>
      <c r="I486" s="512">
        <f t="shared" si="25"/>
        <v>0</v>
      </c>
      <c r="J486" s="512"/>
      <c r="K486" s="649"/>
      <c r="L486" s="518"/>
      <c r="M486" s="649"/>
      <c r="N486" s="518"/>
      <c r="O486" s="518"/>
    </row>
    <row r="487" spans="3:15">
      <c r="C487" s="508">
        <f>IF(D453="","-",+C486+1)</f>
        <v>2043</v>
      </c>
      <c r="D487" s="471">
        <f t="shared" si="26"/>
        <v>5205168.7361111203</v>
      </c>
      <c r="E487" s="515">
        <f t="shared" si="29"/>
        <v>361052.16666666669</v>
      </c>
      <c r="F487" s="471">
        <f t="shared" si="24"/>
        <v>4844116.5694444533</v>
      </c>
      <c r="G487" s="959">
        <f t="shared" si="27"/>
        <v>914664.89842195483</v>
      </c>
      <c r="H487" s="953">
        <f t="shared" si="28"/>
        <v>914664.89842195483</v>
      </c>
      <c r="I487" s="512">
        <f t="shared" si="25"/>
        <v>0</v>
      </c>
      <c r="J487" s="512"/>
      <c r="K487" s="649"/>
      <c r="L487" s="518"/>
      <c r="M487" s="649"/>
      <c r="N487" s="518"/>
      <c r="O487" s="518"/>
    </row>
    <row r="488" spans="3:15">
      <c r="C488" s="508">
        <f>IF(D453="","-",+C487+1)</f>
        <v>2044</v>
      </c>
      <c r="D488" s="471">
        <f t="shared" si="26"/>
        <v>4844116.5694444533</v>
      </c>
      <c r="E488" s="515">
        <f t="shared" si="29"/>
        <v>361052.16666666669</v>
      </c>
      <c r="F488" s="471">
        <f t="shared" si="24"/>
        <v>4483064.4027777864</v>
      </c>
      <c r="G488" s="950">
        <f t="shared" si="27"/>
        <v>874884.34284672444</v>
      </c>
      <c r="H488" s="953">
        <f t="shared" si="28"/>
        <v>874884.34284672444</v>
      </c>
      <c r="I488" s="512">
        <f t="shared" si="25"/>
        <v>0</v>
      </c>
      <c r="J488" s="512"/>
      <c r="K488" s="649"/>
      <c r="L488" s="518"/>
      <c r="M488" s="649"/>
      <c r="N488" s="518"/>
      <c r="O488" s="518"/>
    </row>
    <row r="489" spans="3:15">
      <c r="C489" s="508">
        <f>IF(D453="","-",+C488+1)</f>
        <v>2045</v>
      </c>
      <c r="D489" s="471">
        <f t="shared" si="26"/>
        <v>4483064.4027777864</v>
      </c>
      <c r="E489" s="515">
        <f t="shared" si="29"/>
        <v>361052.16666666669</v>
      </c>
      <c r="F489" s="471">
        <f t="shared" si="24"/>
        <v>4122012.2361111199</v>
      </c>
      <c r="G489" s="950">
        <f t="shared" si="27"/>
        <v>835103.78727149428</v>
      </c>
      <c r="H489" s="953">
        <f t="shared" si="28"/>
        <v>835103.78727149428</v>
      </c>
      <c r="I489" s="512">
        <f t="shared" si="25"/>
        <v>0</v>
      </c>
      <c r="J489" s="512"/>
      <c r="K489" s="649"/>
      <c r="L489" s="518"/>
      <c r="M489" s="649"/>
      <c r="N489" s="518"/>
      <c r="O489" s="518"/>
    </row>
    <row r="490" spans="3:15">
      <c r="C490" s="508">
        <f>IF(D453="","-",+C489+1)</f>
        <v>2046</v>
      </c>
      <c r="D490" s="471">
        <f t="shared" si="26"/>
        <v>4122012.2361111199</v>
      </c>
      <c r="E490" s="515">
        <f t="shared" si="29"/>
        <v>361052.16666666669</v>
      </c>
      <c r="F490" s="471">
        <f t="shared" si="24"/>
        <v>3760960.0694444533</v>
      </c>
      <c r="G490" s="950">
        <f t="shared" si="27"/>
        <v>795323.23169626412</v>
      </c>
      <c r="H490" s="953">
        <f t="shared" si="28"/>
        <v>795323.23169626412</v>
      </c>
      <c r="I490" s="512">
        <f t="shared" si="25"/>
        <v>0</v>
      </c>
      <c r="J490" s="512"/>
      <c r="K490" s="649"/>
      <c r="L490" s="518"/>
      <c r="M490" s="649"/>
      <c r="N490" s="518"/>
      <c r="O490" s="518"/>
    </row>
    <row r="491" spans="3:15">
      <c r="C491" s="508">
        <f>IF(D453="","-",+C490+1)</f>
        <v>2047</v>
      </c>
      <c r="D491" s="471">
        <f t="shared" si="26"/>
        <v>3760960.0694444533</v>
      </c>
      <c r="E491" s="515">
        <f t="shared" si="29"/>
        <v>361052.16666666669</v>
      </c>
      <c r="F491" s="471">
        <f t="shared" si="24"/>
        <v>3399907.9027777868</v>
      </c>
      <c r="G491" s="950">
        <f t="shared" si="27"/>
        <v>755542.67612103396</v>
      </c>
      <c r="H491" s="953">
        <f t="shared" si="28"/>
        <v>755542.67612103396</v>
      </c>
      <c r="I491" s="512">
        <f t="shared" si="25"/>
        <v>0</v>
      </c>
      <c r="J491" s="512"/>
      <c r="K491" s="649"/>
      <c r="L491" s="518"/>
      <c r="M491" s="649"/>
      <c r="N491" s="518"/>
      <c r="O491" s="518"/>
    </row>
    <row r="492" spans="3:15">
      <c r="C492" s="508">
        <f>IF(D453="","-",+C491+1)</f>
        <v>2048</v>
      </c>
      <c r="D492" s="471">
        <f t="shared" si="26"/>
        <v>3399907.9027777868</v>
      </c>
      <c r="E492" s="515">
        <f t="shared" si="29"/>
        <v>361052.16666666669</v>
      </c>
      <c r="F492" s="471">
        <f t="shared" si="24"/>
        <v>3038855.7361111203</v>
      </c>
      <c r="G492" s="950">
        <f t="shared" si="27"/>
        <v>715762.1205458038</v>
      </c>
      <c r="H492" s="953">
        <f t="shared" si="28"/>
        <v>715762.1205458038</v>
      </c>
      <c r="I492" s="512">
        <f t="shared" si="25"/>
        <v>0</v>
      </c>
      <c r="J492" s="512"/>
      <c r="K492" s="649"/>
      <c r="L492" s="518"/>
      <c r="M492" s="649"/>
      <c r="N492" s="518"/>
      <c r="O492" s="518"/>
    </row>
    <row r="493" spans="3:15">
      <c r="C493" s="508">
        <f>IF(D453="","-",+C492+1)</f>
        <v>2049</v>
      </c>
      <c r="D493" s="471">
        <f t="shared" si="26"/>
        <v>3038855.7361111203</v>
      </c>
      <c r="E493" s="515">
        <f t="shared" si="29"/>
        <v>361052.16666666669</v>
      </c>
      <c r="F493" s="471">
        <f t="shared" si="24"/>
        <v>2677803.5694444538</v>
      </c>
      <c r="G493" s="950">
        <f t="shared" si="27"/>
        <v>675981.56497057364</v>
      </c>
      <c r="H493" s="953">
        <f t="shared" si="28"/>
        <v>675981.56497057364</v>
      </c>
      <c r="I493" s="512">
        <f t="shared" si="25"/>
        <v>0</v>
      </c>
      <c r="J493" s="512"/>
      <c r="K493" s="649"/>
      <c r="L493" s="518"/>
      <c r="M493" s="649"/>
      <c r="N493" s="518"/>
      <c r="O493" s="518"/>
    </row>
    <row r="494" spans="3:15">
      <c r="C494" s="508">
        <f>IF(D453="","-",+C493+1)</f>
        <v>2050</v>
      </c>
      <c r="D494" s="471">
        <f t="shared" si="26"/>
        <v>2677803.5694444538</v>
      </c>
      <c r="E494" s="515">
        <f t="shared" si="29"/>
        <v>361052.16666666669</v>
      </c>
      <c r="F494" s="471">
        <f t="shared" si="24"/>
        <v>2316751.4027777873</v>
      </c>
      <c r="G494" s="950">
        <f t="shared" si="27"/>
        <v>636201.00939534325</v>
      </c>
      <c r="H494" s="953">
        <f t="shared" si="28"/>
        <v>636201.00939534325</v>
      </c>
      <c r="I494" s="512">
        <f t="shared" si="25"/>
        <v>0</v>
      </c>
      <c r="J494" s="512"/>
      <c r="K494" s="649"/>
      <c r="L494" s="518"/>
      <c r="M494" s="649"/>
      <c r="N494" s="518"/>
      <c r="O494" s="518"/>
    </row>
    <row r="495" spans="3:15">
      <c r="C495" s="508">
        <f>IF(D453="","-",+C494+1)</f>
        <v>2051</v>
      </c>
      <c r="D495" s="471">
        <f t="shared" si="26"/>
        <v>2316751.4027777873</v>
      </c>
      <c r="E495" s="515">
        <f t="shared" si="29"/>
        <v>361052.16666666669</v>
      </c>
      <c r="F495" s="471">
        <f t="shared" si="24"/>
        <v>1955699.2361111206</v>
      </c>
      <c r="G495" s="950">
        <f t="shared" si="27"/>
        <v>596420.45382011309</v>
      </c>
      <c r="H495" s="953">
        <f t="shared" si="28"/>
        <v>596420.45382011309</v>
      </c>
      <c r="I495" s="512">
        <f t="shared" si="25"/>
        <v>0</v>
      </c>
      <c r="J495" s="512"/>
      <c r="K495" s="649"/>
      <c r="L495" s="518"/>
      <c r="M495" s="649"/>
      <c r="N495" s="518"/>
      <c r="O495" s="518"/>
    </row>
    <row r="496" spans="3:15">
      <c r="C496" s="508">
        <f>IF(D453="","-",+C495+1)</f>
        <v>2052</v>
      </c>
      <c r="D496" s="471">
        <f t="shared" si="26"/>
        <v>1955699.2361111206</v>
      </c>
      <c r="E496" s="515">
        <f t="shared" si="29"/>
        <v>361052.16666666669</v>
      </c>
      <c r="F496" s="471">
        <f t="shared" si="24"/>
        <v>1594647.0694444538</v>
      </c>
      <c r="G496" s="950">
        <f t="shared" si="27"/>
        <v>556639.89824488293</v>
      </c>
      <c r="H496" s="953">
        <f t="shared" si="28"/>
        <v>556639.89824488293</v>
      </c>
      <c r="I496" s="512">
        <f t="shared" si="25"/>
        <v>0</v>
      </c>
      <c r="J496" s="512"/>
      <c r="K496" s="649"/>
      <c r="L496" s="518"/>
      <c r="M496" s="649"/>
      <c r="N496" s="518"/>
      <c r="O496" s="518"/>
    </row>
    <row r="497" spans="3:15">
      <c r="C497" s="508">
        <f>IF(D453="","-",+C496+1)</f>
        <v>2053</v>
      </c>
      <c r="D497" s="471">
        <f t="shared" si="26"/>
        <v>1594647.0694444538</v>
      </c>
      <c r="E497" s="515">
        <f t="shared" si="29"/>
        <v>361052.16666666669</v>
      </c>
      <c r="F497" s="471">
        <f t="shared" si="24"/>
        <v>1233594.9027777871</v>
      </c>
      <c r="G497" s="950">
        <f t="shared" si="27"/>
        <v>516859.34266965266</v>
      </c>
      <c r="H497" s="953">
        <f t="shared" si="28"/>
        <v>516859.34266965266</v>
      </c>
      <c r="I497" s="512">
        <f t="shared" si="25"/>
        <v>0</v>
      </c>
      <c r="J497" s="512"/>
      <c r="K497" s="649"/>
      <c r="L497" s="518"/>
      <c r="M497" s="649"/>
      <c r="N497" s="518"/>
      <c r="O497" s="518"/>
    </row>
    <row r="498" spans="3:15">
      <c r="C498" s="508">
        <f>IF(D453="","-",+C497+1)</f>
        <v>2054</v>
      </c>
      <c r="D498" s="471">
        <f t="shared" si="26"/>
        <v>1233594.9027777871</v>
      </c>
      <c r="E498" s="515">
        <f t="shared" si="29"/>
        <v>361052.16666666669</v>
      </c>
      <c r="F498" s="471">
        <f t="shared" si="24"/>
        <v>872542.73611112032</v>
      </c>
      <c r="G498" s="950">
        <f t="shared" si="27"/>
        <v>477078.7870944225</v>
      </c>
      <c r="H498" s="953">
        <f t="shared" si="28"/>
        <v>477078.7870944225</v>
      </c>
      <c r="I498" s="512">
        <f t="shared" si="25"/>
        <v>0</v>
      </c>
      <c r="J498" s="512"/>
      <c r="K498" s="649"/>
      <c r="L498" s="518"/>
      <c r="M498" s="649"/>
      <c r="N498" s="518"/>
      <c r="O498" s="518"/>
    </row>
    <row r="499" spans="3:15">
      <c r="C499" s="508">
        <f>IF(D453="","-",+C498+1)</f>
        <v>2055</v>
      </c>
      <c r="D499" s="471">
        <f t="shared" si="26"/>
        <v>872542.73611112032</v>
      </c>
      <c r="E499" s="515">
        <f t="shared" si="29"/>
        <v>361052.16666666669</v>
      </c>
      <c r="F499" s="471">
        <f t="shared" si="24"/>
        <v>511490.56944445363</v>
      </c>
      <c r="G499" s="950">
        <f t="shared" si="27"/>
        <v>437298.23151919228</v>
      </c>
      <c r="H499" s="953">
        <f t="shared" si="28"/>
        <v>437298.23151919228</v>
      </c>
      <c r="I499" s="512">
        <f t="shared" si="25"/>
        <v>0</v>
      </c>
      <c r="J499" s="512"/>
      <c r="K499" s="649"/>
      <c r="L499" s="518"/>
      <c r="M499" s="649"/>
      <c r="N499" s="518"/>
      <c r="O499" s="518"/>
    </row>
    <row r="500" spans="3:15">
      <c r="C500" s="508">
        <f>IF(D453="","-",+C499+1)</f>
        <v>2056</v>
      </c>
      <c r="D500" s="471">
        <f t="shared" si="26"/>
        <v>511490.56944445363</v>
      </c>
      <c r="E500" s="515">
        <f t="shared" si="29"/>
        <v>361052.16666666669</v>
      </c>
      <c r="F500" s="471">
        <f t="shared" si="24"/>
        <v>150438.40277778695</v>
      </c>
      <c r="G500" s="950">
        <f t="shared" si="27"/>
        <v>397517.67594396207</v>
      </c>
      <c r="H500" s="953">
        <f t="shared" si="28"/>
        <v>397517.67594396207</v>
      </c>
      <c r="I500" s="512">
        <f t="shared" si="25"/>
        <v>0</v>
      </c>
      <c r="J500" s="512"/>
      <c r="K500" s="649"/>
      <c r="L500" s="518"/>
      <c r="M500" s="649"/>
      <c r="N500" s="518"/>
      <c r="O500" s="518"/>
    </row>
    <row r="501" spans="3:15">
      <c r="C501" s="508">
        <f>IF(D453="","-",+C500+1)</f>
        <v>2057</v>
      </c>
      <c r="D501" s="471">
        <f t="shared" si="26"/>
        <v>150438.40277778695</v>
      </c>
      <c r="E501" s="515">
        <f t="shared" si="29"/>
        <v>150438.40277778695</v>
      </c>
      <c r="F501" s="471">
        <f t="shared" si="24"/>
        <v>0</v>
      </c>
      <c r="G501" s="950">
        <f t="shared" si="27"/>
        <v>158726.01852262707</v>
      </c>
      <c r="H501" s="953">
        <f t="shared" si="28"/>
        <v>158726.01852262707</v>
      </c>
      <c r="I501" s="512">
        <f t="shared" si="25"/>
        <v>0</v>
      </c>
      <c r="J501" s="512"/>
      <c r="K501" s="649"/>
      <c r="L501" s="518"/>
      <c r="M501" s="649"/>
      <c r="N501" s="518"/>
      <c r="O501" s="518"/>
    </row>
    <row r="502" spans="3:15">
      <c r="C502" s="508">
        <f>IF(D453="","-",+C501+1)</f>
        <v>2058</v>
      </c>
      <c r="D502" s="471">
        <f t="shared" si="26"/>
        <v>0</v>
      </c>
      <c r="E502" s="515">
        <f t="shared" si="29"/>
        <v>0</v>
      </c>
      <c r="F502" s="471">
        <f t="shared" si="24"/>
        <v>0</v>
      </c>
      <c r="G502" s="950">
        <f t="shared" si="27"/>
        <v>0</v>
      </c>
      <c r="H502" s="953">
        <f t="shared" si="28"/>
        <v>0</v>
      </c>
      <c r="I502" s="512">
        <f t="shared" si="25"/>
        <v>0</v>
      </c>
      <c r="J502" s="512"/>
      <c r="K502" s="649"/>
      <c r="L502" s="518"/>
      <c r="M502" s="649"/>
      <c r="N502" s="518"/>
      <c r="O502" s="518"/>
    </row>
    <row r="503" spans="3:15">
      <c r="C503" s="508">
        <f>IF(D453="","-",+C502+1)</f>
        <v>2059</v>
      </c>
      <c r="D503" s="471">
        <f t="shared" si="26"/>
        <v>0</v>
      </c>
      <c r="E503" s="515">
        <f t="shared" si="29"/>
        <v>0</v>
      </c>
      <c r="F503" s="471">
        <f t="shared" si="24"/>
        <v>0</v>
      </c>
      <c r="G503" s="950">
        <f t="shared" si="27"/>
        <v>0</v>
      </c>
      <c r="H503" s="953">
        <f t="shared" si="28"/>
        <v>0</v>
      </c>
      <c r="I503" s="512">
        <f t="shared" si="25"/>
        <v>0</v>
      </c>
      <c r="J503" s="512"/>
      <c r="K503" s="649"/>
      <c r="L503" s="518"/>
      <c r="M503" s="649"/>
      <c r="N503" s="518"/>
      <c r="O503" s="518"/>
    </row>
    <row r="504" spans="3:15">
      <c r="C504" s="508">
        <f>IF(D453="","-",+C503+1)</f>
        <v>2060</v>
      </c>
      <c r="D504" s="471">
        <f t="shared" si="26"/>
        <v>0</v>
      </c>
      <c r="E504" s="515">
        <f t="shared" si="29"/>
        <v>0</v>
      </c>
      <c r="F504" s="471">
        <f t="shared" si="24"/>
        <v>0</v>
      </c>
      <c r="G504" s="950">
        <f t="shared" si="27"/>
        <v>0</v>
      </c>
      <c r="H504" s="953">
        <f t="shared" si="28"/>
        <v>0</v>
      </c>
      <c r="I504" s="512">
        <f t="shared" si="25"/>
        <v>0</v>
      </c>
      <c r="J504" s="512"/>
      <c r="K504" s="649"/>
      <c r="L504" s="518"/>
      <c r="M504" s="649"/>
      <c r="N504" s="518"/>
      <c r="O504" s="518"/>
    </row>
    <row r="505" spans="3:15">
      <c r="C505" s="508">
        <f>IF(D453="","-",+C504+1)</f>
        <v>2061</v>
      </c>
      <c r="D505" s="471">
        <f t="shared" si="26"/>
        <v>0</v>
      </c>
      <c r="E505" s="515">
        <f t="shared" si="29"/>
        <v>0</v>
      </c>
      <c r="F505" s="471">
        <f t="shared" si="24"/>
        <v>0</v>
      </c>
      <c r="G505" s="950">
        <f t="shared" si="27"/>
        <v>0</v>
      </c>
      <c r="H505" s="953">
        <f t="shared" si="28"/>
        <v>0</v>
      </c>
      <c r="I505" s="512">
        <f t="shared" si="25"/>
        <v>0</v>
      </c>
      <c r="J505" s="512"/>
      <c r="K505" s="649"/>
      <c r="L505" s="518"/>
      <c r="M505" s="649"/>
      <c r="N505" s="518"/>
      <c r="O505" s="518"/>
    </row>
    <row r="506" spans="3:15">
      <c r="C506" s="508">
        <f>IF(D453="","-",+C505+1)</f>
        <v>2062</v>
      </c>
      <c r="D506" s="471">
        <f t="shared" si="26"/>
        <v>0</v>
      </c>
      <c r="E506" s="515">
        <f t="shared" si="29"/>
        <v>0</v>
      </c>
      <c r="F506" s="471">
        <f t="shared" si="24"/>
        <v>0</v>
      </c>
      <c r="G506" s="950">
        <f t="shared" si="27"/>
        <v>0</v>
      </c>
      <c r="H506" s="953">
        <f t="shared" si="28"/>
        <v>0</v>
      </c>
      <c r="I506" s="512">
        <f t="shared" si="25"/>
        <v>0</v>
      </c>
      <c r="J506" s="512"/>
      <c r="K506" s="649"/>
      <c r="L506" s="518"/>
      <c r="M506" s="649"/>
      <c r="N506" s="518"/>
      <c r="O506" s="518"/>
    </row>
    <row r="507" spans="3:15">
      <c r="C507" s="508">
        <f>IF(D453="","-",+C506+1)</f>
        <v>2063</v>
      </c>
      <c r="D507" s="471">
        <f t="shared" si="26"/>
        <v>0</v>
      </c>
      <c r="E507" s="515">
        <f t="shared" si="29"/>
        <v>0</v>
      </c>
      <c r="F507" s="471">
        <f t="shared" si="24"/>
        <v>0</v>
      </c>
      <c r="G507" s="950">
        <f t="shared" si="27"/>
        <v>0</v>
      </c>
      <c r="H507" s="953">
        <f t="shared" si="28"/>
        <v>0</v>
      </c>
      <c r="I507" s="512">
        <f t="shared" si="25"/>
        <v>0</v>
      </c>
      <c r="J507" s="512"/>
      <c r="K507" s="649"/>
      <c r="L507" s="518"/>
      <c r="M507" s="649"/>
      <c r="N507" s="518"/>
      <c r="O507" s="518"/>
    </row>
    <row r="508" spans="3:15">
      <c r="C508" s="508">
        <f>IF(D453="","-",+C507+1)</f>
        <v>2064</v>
      </c>
      <c r="D508" s="471">
        <f t="shared" si="26"/>
        <v>0</v>
      </c>
      <c r="E508" s="515">
        <f t="shared" si="29"/>
        <v>0</v>
      </c>
      <c r="F508" s="471">
        <f t="shared" si="24"/>
        <v>0</v>
      </c>
      <c r="G508" s="950">
        <f t="shared" si="27"/>
        <v>0</v>
      </c>
      <c r="H508" s="953">
        <f t="shared" si="28"/>
        <v>0</v>
      </c>
      <c r="I508" s="512">
        <f t="shared" si="25"/>
        <v>0</v>
      </c>
      <c r="J508" s="512"/>
      <c r="K508" s="649"/>
      <c r="L508" s="518"/>
      <c r="M508" s="649"/>
      <c r="N508" s="518"/>
      <c r="O508" s="518"/>
    </row>
    <row r="509" spans="3:15">
      <c r="C509" s="508">
        <f>IF(D453="","-",+C508+1)</f>
        <v>2065</v>
      </c>
      <c r="D509" s="471">
        <f t="shared" si="26"/>
        <v>0</v>
      </c>
      <c r="E509" s="515">
        <f t="shared" si="29"/>
        <v>0</v>
      </c>
      <c r="F509" s="471">
        <f t="shared" si="24"/>
        <v>0</v>
      </c>
      <c r="G509" s="950">
        <f t="shared" si="27"/>
        <v>0</v>
      </c>
      <c r="H509" s="953">
        <f t="shared" si="28"/>
        <v>0</v>
      </c>
      <c r="I509" s="512">
        <f t="shared" si="25"/>
        <v>0</v>
      </c>
      <c r="J509" s="512"/>
      <c r="K509" s="649"/>
      <c r="L509" s="518"/>
      <c r="M509" s="649"/>
      <c r="N509" s="518"/>
      <c r="O509" s="518"/>
    </row>
    <row r="510" spans="3:15">
      <c r="C510" s="508">
        <f>IF(D453="","-",+C509+1)</f>
        <v>2066</v>
      </c>
      <c r="D510" s="471">
        <f t="shared" si="26"/>
        <v>0</v>
      </c>
      <c r="E510" s="515">
        <f t="shared" si="29"/>
        <v>0</v>
      </c>
      <c r="F510" s="471">
        <f t="shared" si="24"/>
        <v>0</v>
      </c>
      <c r="G510" s="950">
        <f t="shared" si="27"/>
        <v>0</v>
      </c>
      <c r="H510" s="953">
        <f t="shared" si="28"/>
        <v>0</v>
      </c>
      <c r="I510" s="512">
        <f t="shared" si="25"/>
        <v>0</v>
      </c>
      <c r="J510" s="512"/>
      <c r="K510" s="649"/>
      <c r="L510" s="518"/>
      <c r="M510" s="649"/>
      <c r="N510" s="518"/>
      <c r="O510" s="518"/>
    </row>
    <row r="511" spans="3:15">
      <c r="C511" s="508">
        <f>IF(D453="","-",+C510+1)</f>
        <v>2067</v>
      </c>
      <c r="D511" s="471">
        <f t="shared" si="26"/>
        <v>0</v>
      </c>
      <c r="E511" s="515">
        <f t="shared" si="29"/>
        <v>0</v>
      </c>
      <c r="F511" s="471">
        <f t="shared" si="24"/>
        <v>0</v>
      </c>
      <c r="G511" s="950">
        <f t="shared" si="27"/>
        <v>0</v>
      </c>
      <c r="H511" s="953">
        <f t="shared" si="28"/>
        <v>0</v>
      </c>
      <c r="I511" s="512">
        <f t="shared" si="25"/>
        <v>0</v>
      </c>
      <c r="J511" s="512"/>
      <c r="K511" s="649"/>
      <c r="L511" s="518"/>
      <c r="M511" s="649"/>
      <c r="N511" s="518"/>
      <c r="O511" s="518"/>
    </row>
    <row r="512" spans="3:15">
      <c r="C512" s="508">
        <f>IF(D453="","-",+C511+1)</f>
        <v>2068</v>
      </c>
      <c r="D512" s="471">
        <f t="shared" si="26"/>
        <v>0</v>
      </c>
      <c r="E512" s="515">
        <f t="shared" si="29"/>
        <v>0</v>
      </c>
      <c r="F512" s="471">
        <f t="shared" si="24"/>
        <v>0</v>
      </c>
      <c r="G512" s="950">
        <f t="shared" si="27"/>
        <v>0</v>
      </c>
      <c r="H512" s="953">
        <f t="shared" si="28"/>
        <v>0</v>
      </c>
      <c r="I512" s="512">
        <f t="shared" si="25"/>
        <v>0</v>
      </c>
      <c r="J512" s="512"/>
      <c r="K512" s="649"/>
      <c r="L512" s="518"/>
      <c r="M512" s="649"/>
      <c r="N512" s="518"/>
      <c r="O512" s="518"/>
    </row>
    <row r="513" spans="3:15">
      <c r="C513" s="508">
        <f>IF(D453="","-",+C512+1)</f>
        <v>2069</v>
      </c>
      <c r="D513" s="471">
        <f t="shared" si="26"/>
        <v>0</v>
      </c>
      <c r="E513" s="515">
        <f t="shared" si="29"/>
        <v>0</v>
      </c>
      <c r="F513" s="471">
        <f t="shared" si="24"/>
        <v>0</v>
      </c>
      <c r="G513" s="950">
        <f t="shared" si="27"/>
        <v>0</v>
      </c>
      <c r="H513" s="953">
        <f t="shared" si="28"/>
        <v>0</v>
      </c>
      <c r="I513" s="512">
        <f t="shared" si="25"/>
        <v>0</v>
      </c>
      <c r="J513" s="512"/>
      <c r="K513" s="649"/>
      <c r="L513" s="518"/>
      <c r="M513" s="649"/>
      <c r="N513" s="518"/>
      <c r="O513" s="518"/>
    </row>
    <row r="514" spans="3:15">
      <c r="C514" s="508">
        <f>IF(D453="","-",+C513+1)</f>
        <v>2070</v>
      </c>
      <c r="D514" s="471">
        <f t="shared" si="26"/>
        <v>0</v>
      </c>
      <c r="E514" s="515">
        <f t="shared" si="29"/>
        <v>0</v>
      </c>
      <c r="F514" s="471">
        <f t="shared" si="24"/>
        <v>0</v>
      </c>
      <c r="G514" s="950">
        <f t="shared" si="27"/>
        <v>0</v>
      </c>
      <c r="H514" s="953">
        <f t="shared" si="28"/>
        <v>0</v>
      </c>
      <c r="I514" s="512">
        <f t="shared" si="25"/>
        <v>0</v>
      </c>
      <c r="J514" s="512"/>
      <c r="K514" s="649"/>
      <c r="L514" s="518"/>
      <c r="M514" s="649"/>
      <c r="N514" s="518"/>
      <c r="O514" s="518"/>
    </row>
    <row r="515" spans="3:15">
      <c r="C515" s="508">
        <f>IF(D453="","-",+C514+1)</f>
        <v>2071</v>
      </c>
      <c r="D515" s="471">
        <f t="shared" si="26"/>
        <v>0</v>
      </c>
      <c r="E515" s="515">
        <f t="shared" si="29"/>
        <v>0</v>
      </c>
      <c r="F515" s="471">
        <f t="shared" si="24"/>
        <v>0</v>
      </c>
      <c r="G515" s="950">
        <f t="shared" si="27"/>
        <v>0</v>
      </c>
      <c r="H515" s="953">
        <f t="shared" si="28"/>
        <v>0</v>
      </c>
      <c r="I515" s="512">
        <f t="shared" si="25"/>
        <v>0</v>
      </c>
      <c r="J515" s="512"/>
      <c r="K515" s="649"/>
      <c r="L515" s="518"/>
      <c r="M515" s="649"/>
      <c r="N515" s="518"/>
      <c r="O515" s="518"/>
    </row>
    <row r="516" spans="3:15">
      <c r="C516" s="508">
        <f>IF(D453="","-",+C515+1)</f>
        <v>2072</v>
      </c>
      <c r="D516" s="471">
        <f t="shared" si="26"/>
        <v>0</v>
      </c>
      <c r="E516" s="515">
        <f t="shared" si="29"/>
        <v>0</v>
      </c>
      <c r="F516" s="471">
        <f t="shared" si="24"/>
        <v>0</v>
      </c>
      <c r="G516" s="950">
        <f t="shared" si="27"/>
        <v>0</v>
      </c>
      <c r="H516" s="953">
        <f t="shared" si="28"/>
        <v>0</v>
      </c>
      <c r="I516" s="512">
        <f t="shared" si="25"/>
        <v>0</v>
      </c>
      <c r="J516" s="512"/>
      <c r="K516" s="649"/>
      <c r="L516" s="518"/>
      <c r="M516" s="649"/>
      <c r="N516" s="518"/>
      <c r="O516" s="518"/>
    </row>
    <row r="517" spans="3:15">
      <c r="C517" s="508">
        <f>IF(D453="","-",+C516+1)</f>
        <v>2073</v>
      </c>
      <c r="D517" s="471">
        <f t="shared" si="26"/>
        <v>0</v>
      </c>
      <c r="E517" s="515">
        <f t="shared" si="29"/>
        <v>0</v>
      </c>
      <c r="F517" s="471">
        <f t="shared" si="24"/>
        <v>0</v>
      </c>
      <c r="G517" s="950">
        <f t="shared" si="27"/>
        <v>0</v>
      </c>
      <c r="H517" s="953">
        <f t="shared" si="28"/>
        <v>0</v>
      </c>
      <c r="I517" s="512">
        <f t="shared" si="25"/>
        <v>0</v>
      </c>
      <c r="J517" s="512"/>
      <c r="K517" s="649"/>
      <c r="L517" s="518"/>
      <c r="M517" s="649"/>
      <c r="N517" s="518"/>
      <c r="O517" s="518"/>
    </row>
    <row r="518" spans="3:15" ht="13.5" thickBot="1">
      <c r="C518" s="520">
        <f>IF(D453="","-",+C517+1)</f>
        <v>2074</v>
      </c>
      <c r="D518" s="521">
        <f t="shared" si="26"/>
        <v>0</v>
      </c>
      <c r="E518" s="522">
        <f t="shared" si="29"/>
        <v>0</v>
      </c>
      <c r="F518" s="521">
        <f t="shared" si="24"/>
        <v>0</v>
      </c>
      <c r="G518" s="960">
        <f t="shared" si="27"/>
        <v>0</v>
      </c>
      <c r="H518" s="960">
        <f t="shared" si="28"/>
        <v>0</v>
      </c>
      <c r="I518" s="524">
        <f t="shared" si="25"/>
        <v>0</v>
      </c>
      <c r="J518" s="512"/>
      <c r="K518" s="650"/>
      <c r="L518" s="526"/>
      <c r="M518" s="650"/>
      <c r="N518" s="526"/>
      <c r="O518" s="526"/>
    </row>
    <row r="519" spans="3:15">
      <c r="C519" s="471" t="s">
        <v>288</v>
      </c>
      <c r="D519" s="931"/>
      <c r="E519" s="931">
        <f>SUM(E459:E518)</f>
        <v>15164191</v>
      </c>
      <c r="F519" s="931"/>
      <c r="G519" s="931">
        <f>SUM(G459:G518)</f>
        <v>50946800.739919618</v>
      </c>
      <c r="H519" s="931">
        <f>SUM(H459:H518)</f>
        <v>50946800.739919618</v>
      </c>
      <c r="I519" s="931">
        <f>SUM(I459:I518)</f>
        <v>0</v>
      </c>
      <c r="J519" s="931"/>
      <c r="K519" s="931"/>
      <c r="L519" s="931"/>
      <c r="M519" s="931"/>
      <c r="N519" s="931"/>
      <c r="O519" s="4"/>
    </row>
    <row r="520" spans="3:15">
      <c r="D520" s="78"/>
      <c r="E520" s="4"/>
      <c r="F520" s="4"/>
      <c r="G520" s="4"/>
      <c r="H520" s="930"/>
      <c r="I520" s="930"/>
      <c r="J520" s="931"/>
      <c r="K520" s="930"/>
      <c r="L520" s="930"/>
      <c r="M520" s="930"/>
      <c r="N520" s="930"/>
      <c r="O520" s="4"/>
    </row>
    <row r="521" spans="3:15">
      <c r="C521" s="4" t="s">
        <v>600</v>
      </c>
      <c r="D521" s="78"/>
      <c r="E521" s="4"/>
      <c r="F521" s="4"/>
      <c r="G521" s="4"/>
      <c r="H521" s="930"/>
      <c r="I521" s="930"/>
      <c r="J521" s="931"/>
      <c r="K521" s="930"/>
      <c r="L521" s="930"/>
      <c r="M521" s="930"/>
      <c r="N521" s="930"/>
      <c r="O521" s="4"/>
    </row>
    <row r="522" spans="3:15">
      <c r="D522" s="78"/>
      <c r="E522" s="4"/>
      <c r="F522" s="4"/>
      <c r="G522" s="4"/>
      <c r="H522" s="930"/>
      <c r="I522" s="930"/>
      <c r="J522" s="931"/>
      <c r="K522" s="930"/>
      <c r="L522" s="930"/>
      <c r="M522" s="930"/>
      <c r="N522" s="930"/>
      <c r="O522" s="4"/>
    </row>
    <row r="523" spans="3:15">
      <c r="C523" s="4" t="s">
        <v>601</v>
      </c>
      <c r="D523" s="471"/>
      <c r="E523" s="471"/>
      <c r="F523" s="471"/>
      <c r="G523" s="931"/>
      <c r="H523" s="931"/>
      <c r="I523" s="473"/>
      <c r="J523" s="473"/>
      <c r="K523" s="473"/>
      <c r="L523" s="473"/>
      <c r="M523" s="473"/>
      <c r="N523" s="473"/>
      <c r="O523" s="4"/>
    </row>
    <row r="524" spans="3:15">
      <c r="C524" s="4" t="s">
        <v>476</v>
      </c>
      <c r="D524" s="471"/>
      <c r="E524" s="471"/>
      <c r="F524" s="471"/>
      <c r="G524" s="931"/>
      <c r="H524" s="931"/>
      <c r="I524" s="473"/>
      <c r="J524" s="473"/>
      <c r="K524" s="473"/>
      <c r="L524" s="473"/>
      <c r="M524" s="473"/>
      <c r="N524" s="473"/>
      <c r="O524" s="4"/>
    </row>
    <row r="525" spans="3:15">
      <c r="C525" s="4" t="s">
        <v>289</v>
      </c>
      <c r="D525" s="471"/>
      <c r="E525" s="471"/>
      <c r="F525" s="471"/>
      <c r="G525" s="931"/>
      <c r="H525" s="931"/>
      <c r="I525" s="473"/>
      <c r="J525" s="473"/>
      <c r="K525" s="473"/>
      <c r="L525" s="473"/>
      <c r="M525" s="473"/>
      <c r="N525" s="473"/>
      <c r="O525" s="4"/>
    </row>
    <row r="526" spans="3:15">
      <c r="C526" s="472"/>
      <c r="D526" s="471"/>
      <c r="E526" s="471"/>
      <c r="F526" s="471"/>
      <c r="G526" s="931"/>
      <c r="H526" s="931"/>
      <c r="I526" s="473"/>
      <c r="J526" s="473"/>
      <c r="K526" s="473"/>
      <c r="L526" s="473"/>
      <c r="M526" s="473"/>
      <c r="N526" s="473"/>
      <c r="O526" s="4"/>
    </row>
    <row r="527" spans="3:15">
      <c r="C527" s="1303" t="s">
        <v>460</v>
      </c>
      <c r="D527" s="1303"/>
      <c r="E527" s="1303"/>
      <c r="F527" s="1303"/>
      <c r="G527" s="1303"/>
      <c r="H527" s="1303"/>
      <c r="I527" s="1303"/>
      <c r="J527" s="1303"/>
      <c r="K527" s="1303"/>
      <c r="L527" s="1303"/>
      <c r="M527" s="1303"/>
      <c r="N527" s="1303"/>
      <c r="O527" s="1303"/>
    </row>
    <row r="528" spans="3:15">
      <c r="C528" s="1303"/>
      <c r="D528" s="1303"/>
      <c r="E528" s="1303"/>
      <c r="F528" s="1303"/>
      <c r="G528" s="1303"/>
      <c r="H528" s="1303"/>
      <c r="I528" s="1303"/>
      <c r="J528" s="1303"/>
      <c r="K528" s="1303"/>
      <c r="L528" s="1303"/>
      <c r="M528" s="1303"/>
      <c r="N528" s="1303"/>
      <c r="O528" s="1303"/>
    </row>
    <row r="529" spans="1:16" ht="20.25">
      <c r="A529" s="413" t="s">
        <v>927</v>
      </c>
      <c r="B529" s="4"/>
      <c r="C529" s="4"/>
      <c r="D529" s="78"/>
      <c r="E529" s="4"/>
      <c r="F529" s="80"/>
      <c r="G529" s="4"/>
      <c r="H529" s="930"/>
      <c r="K529" s="11"/>
      <c r="L529" s="11"/>
      <c r="M529" s="11"/>
      <c r="N529" s="11" t="str">
        <f>"Page "&amp;SUM(P$6:P529)&amp;" of "</f>
        <v xml:space="preserve">Page 7 of </v>
      </c>
      <c r="O529" s="414">
        <f>COUNT(P$6:P$59606)</f>
        <v>14</v>
      </c>
      <c r="P529" s="4">
        <v>1</v>
      </c>
    </row>
    <row r="530" spans="1:16">
      <c r="B530" s="4"/>
      <c r="C530" s="4"/>
      <c r="D530" s="78"/>
      <c r="E530" s="4"/>
      <c r="F530" s="4"/>
      <c r="G530" s="4"/>
      <c r="H530" s="930"/>
      <c r="I530" s="4"/>
      <c r="J530" s="4"/>
      <c r="K530" s="4"/>
      <c r="L530" s="4"/>
      <c r="M530" s="4"/>
      <c r="N530" s="4"/>
      <c r="O530" s="4"/>
    </row>
    <row r="531" spans="1:16" ht="18">
      <c r="B531" s="415" t="s">
        <v>174</v>
      </c>
      <c r="C531" s="474" t="s">
        <v>290</v>
      </c>
      <c r="D531" s="78"/>
      <c r="E531" s="4"/>
      <c r="F531" s="4"/>
      <c r="G531" s="4"/>
      <c r="H531" s="930"/>
      <c r="I531" s="930"/>
      <c r="J531" s="931"/>
      <c r="K531" s="930"/>
      <c r="L531" s="930"/>
      <c r="M531" s="930"/>
      <c r="N531" s="930"/>
      <c r="O531" s="4"/>
    </row>
    <row r="532" spans="1:16" ht="18.75">
      <c r="B532" s="415"/>
      <c r="C532" s="13"/>
      <c r="D532" s="78"/>
      <c r="E532" s="4"/>
      <c r="F532" s="4"/>
      <c r="G532" s="4"/>
      <c r="H532" s="930"/>
      <c r="I532" s="930"/>
      <c r="J532" s="931"/>
      <c r="K532" s="930"/>
      <c r="L532" s="930"/>
      <c r="M532" s="930"/>
      <c r="N532" s="930"/>
      <c r="O532" s="4"/>
    </row>
    <row r="533" spans="1:16" ht="18.75">
      <c r="B533" s="415"/>
      <c r="C533" s="13" t="s">
        <v>291</v>
      </c>
      <c r="D533" s="78"/>
      <c r="E533" s="4"/>
      <c r="F533" s="4"/>
      <c r="G533" s="4"/>
      <c r="H533" s="930"/>
      <c r="I533" s="930"/>
      <c r="J533" s="931"/>
      <c r="K533" s="930"/>
      <c r="L533" s="930"/>
      <c r="M533" s="930"/>
      <c r="N533" s="930"/>
      <c r="O533" s="4"/>
    </row>
    <row r="534" spans="1:16" ht="15.75" thickBot="1">
      <c r="C534" s="250"/>
      <c r="D534" s="78"/>
      <c r="E534" s="4"/>
      <c r="F534" s="4"/>
      <c r="G534" s="4"/>
      <c r="H534" s="930"/>
      <c r="I534" s="930"/>
      <c r="J534" s="931"/>
      <c r="K534" s="930"/>
      <c r="L534" s="930"/>
      <c r="M534" s="930"/>
      <c r="N534" s="930"/>
      <c r="O534" s="4"/>
    </row>
    <row r="535" spans="1:16" ht="15.75">
      <c r="C535" s="416" t="s">
        <v>292</v>
      </c>
      <c r="D535" s="78"/>
      <c r="E535" s="4"/>
      <c r="F535" s="4"/>
      <c r="G535" s="932"/>
      <c r="H535" s="4" t="s">
        <v>271</v>
      </c>
      <c r="I535" s="4"/>
      <c r="J535" s="4"/>
      <c r="K535" s="475" t="s">
        <v>296</v>
      </c>
      <c r="L535" s="476"/>
      <c r="M535" s="477"/>
      <c r="N535" s="933">
        <f>VLOOKUP(I541,C548:O607,5)</f>
        <v>1899427.2531546846</v>
      </c>
      <c r="O535" s="4"/>
    </row>
    <row r="536" spans="1:16" ht="15.75">
      <c r="C536" s="416"/>
      <c r="D536" s="78"/>
      <c r="E536" s="4"/>
      <c r="F536" s="4"/>
      <c r="G536" s="4"/>
      <c r="H536" s="934"/>
      <c r="I536" s="934"/>
      <c r="J536" s="935"/>
      <c r="K536" s="480" t="s">
        <v>297</v>
      </c>
      <c r="L536" s="936"/>
      <c r="M536" s="4"/>
      <c r="N536" s="937">
        <f>VLOOKUP(I541,C548:O607,6)</f>
        <v>1899427.2531546846</v>
      </c>
      <c r="O536" s="4"/>
    </row>
    <row r="537" spans="1:16" ht="13.5" thickBot="1">
      <c r="C537" s="481" t="s">
        <v>293</v>
      </c>
      <c r="D537" s="1304" t="s">
        <v>934</v>
      </c>
      <c r="E537" s="1304"/>
      <c r="F537" s="1304"/>
      <c r="G537" s="1304"/>
      <c r="H537" s="1304"/>
      <c r="I537" s="930"/>
      <c r="J537" s="931"/>
      <c r="K537" s="938" t="s">
        <v>450</v>
      </c>
      <c r="L537" s="939"/>
      <c r="M537" s="939"/>
      <c r="N537" s="940">
        <f>+N536-N535</f>
        <v>0</v>
      </c>
      <c r="O537" s="4"/>
    </row>
    <row r="538" spans="1:16">
      <c r="C538" s="483"/>
      <c r="D538" s="484"/>
      <c r="E538" s="471"/>
      <c r="F538" s="471"/>
      <c r="G538" s="485"/>
      <c r="H538" s="930"/>
      <c r="I538" s="930"/>
      <c r="J538" s="931"/>
      <c r="K538" s="930"/>
      <c r="L538" s="930"/>
      <c r="M538" s="930"/>
      <c r="N538" s="930"/>
      <c r="O538" s="4"/>
    </row>
    <row r="539" spans="1:16" ht="13.5" thickBot="1">
      <c r="C539" s="483"/>
      <c r="D539" s="4"/>
      <c r="E539" s="485"/>
      <c r="F539" s="485"/>
      <c r="G539" s="485"/>
      <c r="H539" s="485"/>
      <c r="I539" s="485"/>
      <c r="J539" s="485"/>
      <c r="K539" s="485"/>
      <c r="L539" s="485"/>
      <c r="M539" s="485"/>
      <c r="N539" s="485"/>
      <c r="O539" s="4"/>
    </row>
    <row r="540" spans="1:16" ht="13.5" thickBot="1">
      <c r="C540" s="487" t="s">
        <v>294</v>
      </c>
      <c r="D540" s="488"/>
      <c r="E540" s="488"/>
      <c r="F540" s="488"/>
      <c r="G540" s="488"/>
      <c r="H540" s="488"/>
      <c r="I540" s="489"/>
      <c r="K540" s="4"/>
      <c r="L540" s="4"/>
      <c r="M540" s="4"/>
      <c r="N540" s="4"/>
      <c r="O540" s="4"/>
    </row>
    <row r="541" spans="1:16" ht="15">
      <c r="C541" s="490" t="s">
        <v>272</v>
      </c>
      <c r="D541" s="941">
        <v>14629496</v>
      </c>
      <c r="E541" s="4" t="s">
        <v>273</v>
      </c>
      <c r="G541" s="78"/>
      <c r="H541" s="78"/>
      <c r="I541" s="491">
        <v>2018</v>
      </c>
      <c r="J541" s="134"/>
      <c r="K541" s="1302" t="s">
        <v>459</v>
      </c>
      <c r="L541" s="1302"/>
      <c r="M541" s="1302"/>
      <c r="N541" s="1302"/>
      <c r="O541" s="1302"/>
    </row>
    <row r="542" spans="1:16">
      <c r="C542" s="490" t="s">
        <v>275</v>
      </c>
      <c r="D542" s="644">
        <v>2016</v>
      </c>
      <c r="E542" s="490" t="s">
        <v>276</v>
      </c>
      <c r="F542" s="78"/>
      <c r="H542"/>
      <c r="I542" s="647">
        <f>IF(G535="",0,$F$15)</f>
        <v>0</v>
      </c>
      <c r="J542" s="492"/>
      <c r="K542" s="931" t="s">
        <v>459</v>
      </c>
    </row>
    <row r="543" spans="1:16">
      <c r="C543" s="490" t="s">
        <v>277</v>
      </c>
      <c r="D543" s="942">
        <v>11</v>
      </c>
      <c r="E543" s="490" t="s">
        <v>278</v>
      </c>
      <c r="F543" s="78"/>
      <c r="H543"/>
      <c r="I543" s="493">
        <f>$G$70</f>
        <v>0.11017952320434825</v>
      </c>
      <c r="J543" s="80"/>
      <c r="K543" t="str">
        <f>"          INPUT PROJECTED ARR (WITH &amp; WITHOUT INCENTIVES) FROM EACH PRIOR YEAR"</f>
        <v xml:space="preserve">          INPUT PROJECTED ARR (WITH &amp; WITHOUT INCENTIVES) FROM EACH PRIOR YEAR</v>
      </c>
    </row>
    <row r="544" spans="1:16">
      <c r="C544" s="490" t="s">
        <v>279</v>
      </c>
      <c r="D544" s="494">
        <f>G$79</f>
        <v>42</v>
      </c>
      <c r="E544" s="490" t="s">
        <v>280</v>
      </c>
      <c r="F544" s="78"/>
      <c r="H544"/>
      <c r="I544" s="493">
        <f>IF(G535="",I543,$G$67)</f>
        <v>0.11017952320434825</v>
      </c>
      <c r="J544" s="80"/>
      <c r="K544" t="s">
        <v>357</v>
      </c>
    </row>
    <row r="545" spans="1:15" ht="13.5" thickBot="1">
      <c r="C545" s="490" t="s">
        <v>281</v>
      </c>
      <c r="D545" s="646" t="s">
        <v>929</v>
      </c>
      <c r="E545" s="495" t="s">
        <v>282</v>
      </c>
      <c r="F545" s="496"/>
      <c r="G545" s="497"/>
      <c r="H545" s="497"/>
      <c r="I545" s="940">
        <f>IF(D541=0,0,D541/D544)</f>
        <v>348321.33333333331</v>
      </c>
      <c r="J545" s="931"/>
      <c r="K545" s="931" t="s">
        <v>363</v>
      </c>
      <c r="L545" s="931"/>
      <c r="M545" s="931"/>
      <c r="N545" s="931"/>
      <c r="O545" s="4"/>
    </row>
    <row r="546" spans="1:15" ht="51">
      <c r="A546" s="12"/>
      <c r="B546" s="12"/>
      <c r="C546" s="498" t="s">
        <v>272</v>
      </c>
      <c r="D546" s="943" t="s">
        <v>283</v>
      </c>
      <c r="E546" s="944" t="s">
        <v>284</v>
      </c>
      <c r="F546" s="943" t="s">
        <v>285</v>
      </c>
      <c r="G546" s="944" t="s">
        <v>356</v>
      </c>
      <c r="H546" s="945" t="s">
        <v>356</v>
      </c>
      <c r="I546" s="498" t="s">
        <v>295</v>
      </c>
      <c r="J546" s="502"/>
      <c r="K546" s="944" t="s">
        <v>365</v>
      </c>
      <c r="L546" s="946"/>
      <c r="M546" s="944" t="s">
        <v>365</v>
      </c>
      <c r="N546" s="946"/>
      <c r="O546" s="946"/>
    </row>
    <row r="547" spans="1:15" ht="13.5" thickBot="1">
      <c r="C547" s="503" t="s">
        <v>177</v>
      </c>
      <c r="D547" s="504" t="s">
        <v>178</v>
      </c>
      <c r="E547" s="503" t="s">
        <v>37</v>
      </c>
      <c r="F547" s="504" t="s">
        <v>178</v>
      </c>
      <c r="G547" s="947" t="s">
        <v>298</v>
      </c>
      <c r="H547" s="948" t="s">
        <v>300</v>
      </c>
      <c r="I547" s="503" t="s">
        <v>389</v>
      </c>
      <c r="J547" s="507"/>
      <c r="K547" s="947" t="s">
        <v>287</v>
      </c>
      <c r="L547" s="949"/>
      <c r="M547" s="947" t="s">
        <v>300</v>
      </c>
      <c r="N547" s="949"/>
      <c r="O547" s="949"/>
    </row>
    <row r="548" spans="1:15">
      <c r="C548" s="508">
        <f>IF(D542= "","-",D542)</f>
        <v>2016</v>
      </c>
      <c r="D548" s="471">
        <f>+D541</f>
        <v>14629496</v>
      </c>
      <c r="E548" s="950">
        <f>+I545/12*(12-D543)</f>
        <v>29026.777777777777</v>
      </c>
      <c r="F548" s="471">
        <f t="shared" ref="F548:F607" si="30">+D548-E548</f>
        <v>14600469.222222222</v>
      </c>
      <c r="G548" s="951">
        <f>+$I$543*((D548+F548)/2)+E548</f>
        <v>1639298.5935098405</v>
      </c>
      <c r="H548" s="952">
        <f>+$I$544*((D548+F548)/2)+E548</f>
        <v>1639298.5935098405</v>
      </c>
      <c r="I548" s="512">
        <f t="shared" ref="I548:I607" si="31">+H548-G548</f>
        <v>0</v>
      </c>
      <c r="J548" s="512"/>
      <c r="K548" s="973">
        <v>8871246.9461574946</v>
      </c>
      <c r="L548" s="971"/>
      <c r="M548" s="974">
        <v>8871246.9461574946</v>
      </c>
      <c r="N548" s="514"/>
      <c r="O548" s="514"/>
    </row>
    <row r="549" spans="1:15">
      <c r="C549" s="508">
        <f>IF(D542="","-",+C548+1)</f>
        <v>2017</v>
      </c>
      <c r="D549" s="955">
        <f t="shared" ref="D549:D607" si="32">F548</f>
        <v>14600469.222222222</v>
      </c>
      <c r="E549" s="956">
        <f>IF(D549&gt;$I$545,$I$545,D549)</f>
        <v>348321.33333333331</v>
      </c>
      <c r="F549" s="955">
        <f t="shared" si="30"/>
        <v>14252147.888888888</v>
      </c>
      <c r="G549" s="957">
        <f t="shared" ref="G549:G607" si="33">+$I$543*((D549+F549)/2)+E549</f>
        <v>1937805.1315832543</v>
      </c>
      <c r="H549" s="958">
        <f t="shared" ref="H549:H607" si="34">+$I$544*((D549+F549)/2)+E549</f>
        <v>1937805.1315832543</v>
      </c>
      <c r="I549" s="964">
        <f t="shared" si="31"/>
        <v>0</v>
      </c>
      <c r="J549" s="512"/>
      <c r="K549" s="649">
        <v>8889734.7657841165</v>
      </c>
      <c r="L549" s="518"/>
      <c r="M549" s="649">
        <v>8889734.7657841165</v>
      </c>
      <c r="N549" s="518"/>
      <c r="O549" s="518"/>
    </row>
    <row r="550" spans="1:15">
      <c r="C550" s="954">
        <f>IF(D542="","-",+C549+1)</f>
        <v>2018</v>
      </c>
      <c r="D550" s="955">
        <f t="shared" si="32"/>
        <v>14252147.888888888</v>
      </c>
      <c r="E550" s="956">
        <f t="shared" ref="E550:E607" si="35">IF(D550&gt;$I$545,$I$545,D550)</f>
        <v>348321.33333333331</v>
      </c>
      <c r="F550" s="955">
        <f t="shared" si="30"/>
        <v>13903826.555555554</v>
      </c>
      <c r="G550" s="957">
        <f t="shared" si="33"/>
        <v>1899427.2531546846</v>
      </c>
      <c r="H550" s="958">
        <f t="shared" si="34"/>
        <v>1899427.2531546846</v>
      </c>
      <c r="I550" s="964">
        <f t="shared" si="31"/>
        <v>0</v>
      </c>
      <c r="J550" s="512"/>
      <c r="K550" s="975"/>
      <c r="L550" s="963"/>
      <c r="M550" s="975"/>
      <c r="N550" s="518"/>
      <c r="O550" s="518"/>
    </row>
    <row r="551" spans="1:15">
      <c r="C551" s="508">
        <f>IF(D542="","-",+C550+1)</f>
        <v>2019</v>
      </c>
      <c r="D551" s="471">
        <f t="shared" si="32"/>
        <v>13903826.555555554</v>
      </c>
      <c r="E551" s="515">
        <f t="shared" si="35"/>
        <v>348321.33333333331</v>
      </c>
      <c r="F551" s="471">
        <f t="shared" si="30"/>
        <v>13555505.22222222</v>
      </c>
      <c r="G551" s="950">
        <f t="shared" si="33"/>
        <v>1861049.374726115</v>
      </c>
      <c r="H551" s="953">
        <f t="shared" si="34"/>
        <v>1861049.374726115</v>
      </c>
      <c r="I551" s="512">
        <f t="shared" si="31"/>
        <v>0</v>
      </c>
      <c r="J551" s="512"/>
      <c r="K551" s="649"/>
      <c r="L551" s="518"/>
      <c r="M551" s="649"/>
      <c r="N551" s="518"/>
      <c r="O551" s="518"/>
    </row>
    <row r="552" spans="1:15">
      <c r="C552" s="508">
        <f>IF(D542="","-",+C551+1)</f>
        <v>2020</v>
      </c>
      <c r="D552" s="471">
        <f t="shared" si="32"/>
        <v>13555505.22222222</v>
      </c>
      <c r="E552" s="515">
        <f t="shared" si="35"/>
        <v>348321.33333333331</v>
      </c>
      <c r="F552" s="471">
        <f t="shared" si="30"/>
        <v>13207183.888888886</v>
      </c>
      <c r="G552" s="950">
        <f t="shared" si="33"/>
        <v>1822671.4962975453</v>
      </c>
      <c r="H552" s="953">
        <f t="shared" si="34"/>
        <v>1822671.4962975453</v>
      </c>
      <c r="I552" s="512">
        <f t="shared" si="31"/>
        <v>0</v>
      </c>
      <c r="J552" s="512"/>
      <c r="K552" s="649"/>
      <c r="L552" s="518"/>
      <c r="M552" s="649"/>
      <c r="N552" s="518"/>
      <c r="O552" s="518"/>
    </row>
    <row r="553" spans="1:15">
      <c r="C553" s="508">
        <f>IF(D542="","-",+C552+1)</f>
        <v>2021</v>
      </c>
      <c r="D553" s="471">
        <f t="shared" si="32"/>
        <v>13207183.888888886</v>
      </c>
      <c r="E553" s="515">
        <f t="shared" si="35"/>
        <v>348321.33333333331</v>
      </c>
      <c r="F553" s="471">
        <f t="shared" si="30"/>
        <v>12858862.555555552</v>
      </c>
      <c r="G553" s="950">
        <f t="shared" si="33"/>
        <v>1784293.617868976</v>
      </c>
      <c r="H553" s="953">
        <f t="shared" si="34"/>
        <v>1784293.617868976</v>
      </c>
      <c r="I553" s="512">
        <f t="shared" si="31"/>
        <v>0</v>
      </c>
      <c r="J553" s="512"/>
      <c r="K553" s="649"/>
      <c r="L553" s="518"/>
      <c r="M553" s="649"/>
      <c r="N553" s="518"/>
      <c r="O553" s="518"/>
    </row>
    <row r="554" spans="1:15">
      <c r="C554" s="508">
        <f>IF(D542="","-",+C553+1)</f>
        <v>2022</v>
      </c>
      <c r="D554" s="471">
        <f t="shared" si="32"/>
        <v>12858862.555555552</v>
      </c>
      <c r="E554" s="515">
        <f t="shared" si="35"/>
        <v>348321.33333333331</v>
      </c>
      <c r="F554" s="471">
        <f t="shared" si="30"/>
        <v>12510541.222222218</v>
      </c>
      <c r="G554" s="950">
        <f t="shared" si="33"/>
        <v>1745915.7394404062</v>
      </c>
      <c r="H554" s="953">
        <f t="shared" si="34"/>
        <v>1745915.7394404062</v>
      </c>
      <c r="I554" s="512">
        <f t="shared" si="31"/>
        <v>0</v>
      </c>
      <c r="J554" s="512"/>
      <c r="K554" s="649"/>
      <c r="L554" s="518"/>
      <c r="M554" s="649"/>
      <c r="N554" s="518"/>
      <c r="O554" s="518"/>
    </row>
    <row r="555" spans="1:15">
      <c r="C555" s="508">
        <f>IF(D542="","-",+C554+1)</f>
        <v>2023</v>
      </c>
      <c r="D555" s="471">
        <f t="shared" si="32"/>
        <v>12510541.222222218</v>
      </c>
      <c r="E555" s="515">
        <f t="shared" si="35"/>
        <v>348321.33333333331</v>
      </c>
      <c r="F555" s="471">
        <f t="shared" si="30"/>
        <v>12162219.888888884</v>
      </c>
      <c r="G555" s="950">
        <f t="shared" si="33"/>
        <v>1707537.8610118367</v>
      </c>
      <c r="H555" s="953">
        <f t="shared" si="34"/>
        <v>1707537.8610118367</v>
      </c>
      <c r="I555" s="512">
        <f t="shared" si="31"/>
        <v>0</v>
      </c>
      <c r="J555" s="512"/>
      <c r="K555" s="649"/>
      <c r="L555" s="518"/>
      <c r="M555" s="649"/>
      <c r="N555" s="518"/>
      <c r="O555" s="518"/>
    </row>
    <row r="556" spans="1:15">
      <c r="C556" s="508">
        <f>IF(D542="","-",+C555+1)</f>
        <v>2024</v>
      </c>
      <c r="D556" s="471">
        <f t="shared" si="32"/>
        <v>12162219.888888884</v>
      </c>
      <c r="E556" s="515">
        <f t="shared" si="35"/>
        <v>348321.33333333331</v>
      </c>
      <c r="F556" s="471">
        <f t="shared" si="30"/>
        <v>11813898.55555555</v>
      </c>
      <c r="G556" s="950">
        <f t="shared" si="33"/>
        <v>1669159.9825832669</v>
      </c>
      <c r="H556" s="953">
        <f t="shared" si="34"/>
        <v>1669159.9825832669</v>
      </c>
      <c r="I556" s="512">
        <f t="shared" si="31"/>
        <v>0</v>
      </c>
      <c r="J556" s="512"/>
      <c r="K556" s="649"/>
      <c r="L556" s="518"/>
      <c r="M556" s="649"/>
      <c r="N556" s="518"/>
      <c r="O556" s="518"/>
    </row>
    <row r="557" spans="1:15">
      <c r="C557" s="508">
        <f>IF(D542="","-",+C556+1)</f>
        <v>2025</v>
      </c>
      <c r="D557" s="471">
        <f t="shared" si="32"/>
        <v>11813898.55555555</v>
      </c>
      <c r="E557" s="515">
        <f t="shared" si="35"/>
        <v>348321.33333333331</v>
      </c>
      <c r="F557" s="471">
        <f t="shared" si="30"/>
        <v>11465577.222222216</v>
      </c>
      <c r="G557" s="950">
        <f t="shared" si="33"/>
        <v>1630782.1041546976</v>
      </c>
      <c r="H557" s="953">
        <f t="shared" si="34"/>
        <v>1630782.1041546976</v>
      </c>
      <c r="I557" s="512">
        <f t="shared" si="31"/>
        <v>0</v>
      </c>
      <c r="J557" s="512"/>
      <c r="K557" s="649"/>
      <c r="L557" s="518"/>
      <c r="M557" s="649"/>
      <c r="N557" s="518"/>
      <c r="O557" s="518"/>
    </row>
    <row r="558" spans="1:15">
      <c r="C558" s="508">
        <f>IF(D542="","-",+C557+1)</f>
        <v>2026</v>
      </c>
      <c r="D558" s="471">
        <f t="shared" si="32"/>
        <v>11465577.222222216</v>
      </c>
      <c r="E558" s="515">
        <f t="shared" si="35"/>
        <v>348321.33333333331</v>
      </c>
      <c r="F558" s="471">
        <f t="shared" si="30"/>
        <v>11117255.888888882</v>
      </c>
      <c r="G558" s="950">
        <f t="shared" si="33"/>
        <v>1592404.2257261279</v>
      </c>
      <c r="H558" s="953">
        <f t="shared" si="34"/>
        <v>1592404.2257261279</v>
      </c>
      <c r="I558" s="512">
        <f t="shared" si="31"/>
        <v>0</v>
      </c>
      <c r="J558" s="512"/>
      <c r="K558" s="649"/>
      <c r="L558" s="518"/>
      <c r="M558" s="649"/>
      <c r="N558" s="518"/>
      <c r="O558" s="518"/>
    </row>
    <row r="559" spans="1:15">
      <c r="C559" s="508">
        <f>IF(D542="","-",+C558+1)</f>
        <v>2027</v>
      </c>
      <c r="D559" s="471">
        <f t="shared" si="32"/>
        <v>11117255.888888882</v>
      </c>
      <c r="E559" s="515">
        <f t="shared" si="35"/>
        <v>348321.33333333331</v>
      </c>
      <c r="F559" s="471">
        <f t="shared" si="30"/>
        <v>10768934.555555549</v>
      </c>
      <c r="G559" s="950">
        <f t="shared" si="33"/>
        <v>1554026.3472975583</v>
      </c>
      <c r="H559" s="953">
        <f t="shared" si="34"/>
        <v>1554026.3472975583</v>
      </c>
      <c r="I559" s="512">
        <f t="shared" si="31"/>
        <v>0</v>
      </c>
      <c r="J559" s="512"/>
      <c r="K559" s="649"/>
      <c r="L559" s="518"/>
      <c r="M559" s="649"/>
      <c r="N559" s="518"/>
      <c r="O559" s="518"/>
    </row>
    <row r="560" spans="1:15">
      <c r="C560" s="508">
        <f>IF(D542="","-",+C559+1)</f>
        <v>2028</v>
      </c>
      <c r="D560" s="471">
        <f t="shared" si="32"/>
        <v>10768934.555555549</v>
      </c>
      <c r="E560" s="515">
        <f t="shared" si="35"/>
        <v>348321.33333333331</v>
      </c>
      <c r="F560" s="471">
        <f t="shared" si="30"/>
        <v>10420613.222222215</v>
      </c>
      <c r="G560" s="950">
        <f t="shared" si="33"/>
        <v>1515648.4688689886</v>
      </c>
      <c r="H560" s="953">
        <f t="shared" si="34"/>
        <v>1515648.4688689886</v>
      </c>
      <c r="I560" s="512">
        <f t="shared" si="31"/>
        <v>0</v>
      </c>
      <c r="J560" s="512"/>
      <c r="K560" s="649"/>
      <c r="L560" s="518"/>
      <c r="M560" s="649"/>
      <c r="N560" s="519"/>
      <c r="O560" s="518"/>
    </row>
    <row r="561" spans="3:15">
      <c r="C561" s="508">
        <f>IF(D542="","-",+C560+1)</f>
        <v>2029</v>
      </c>
      <c r="D561" s="471">
        <f t="shared" si="32"/>
        <v>10420613.222222215</v>
      </c>
      <c r="E561" s="515">
        <f t="shared" si="35"/>
        <v>348321.33333333331</v>
      </c>
      <c r="F561" s="471">
        <f t="shared" si="30"/>
        <v>10072291.888888881</v>
      </c>
      <c r="G561" s="950">
        <f t="shared" si="33"/>
        <v>1477270.5904404193</v>
      </c>
      <c r="H561" s="953">
        <f t="shared" si="34"/>
        <v>1477270.5904404193</v>
      </c>
      <c r="I561" s="512">
        <f t="shared" si="31"/>
        <v>0</v>
      </c>
      <c r="J561" s="512"/>
      <c r="K561" s="649"/>
      <c r="L561" s="518"/>
      <c r="M561" s="649"/>
      <c r="N561" s="518"/>
      <c r="O561" s="518"/>
    </row>
    <row r="562" spans="3:15">
      <c r="C562" s="508">
        <f>IF(D542="","-",+C561+1)</f>
        <v>2030</v>
      </c>
      <c r="D562" s="471">
        <f t="shared" si="32"/>
        <v>10072291.888888881</v>
      </c>
      <c r="E562" s="515">
        <f t="shared" si="35"/>
        <v>348321.33333333331</v>
      </c>
      <c r="F562" s="471">
        <f t="shared" si="30"/>
        <v>9723970.5555555467</v>
      </c>
      <c r="G562" s="950">
        <f t="shared" si="33"/>
        <v>1438892.7120118495</v>
      </c>
      <c r="H562" s="953">
        <f t="shared" si="34"/>
        <v>1438892.7120118495</v>
      </c>
      <c r="I562" s="512">
        <f t="shared" si="31"/>
        <v>0</v>
      </c>
      <c r="J562" s="512"/>
      <c r="K562" s="649"/>
      <c r="L562" s="518"/>
      <c r="M562" s="649"/>
      <c r="N562" s="518"/>
      <c r="O562" s="518"/>
    </row>
    <row r="563" spans="3:15">
      <c r="C563" s="508">
        <f>IF(D542="","-",+C562+1)</f>
        <v>2031</v>
      </c>
      <c r="D563" s="471">
        <f t="shared" si="32"/>
        <v>9723970.5555555467</v>
      </c>
      <c r="E563" s="515">
        <f t="shared" si="35"/>
        <v>348321.33333333331</v>
      </c>
      <c r="F563" s="471">
        <f t="shared" si="30"/>
        <v>9375649.2222222127</v>
      </c>
      <c r="G563" s="950">
        <f t="shared" si="33"/>
        <v>1400514.83358328</v>
      </c>
      <c r="H563" s="953">
        <f t="shared" si="34"/>
        <v>1400514.83358328</v>
      </c>
      <c r="I563" s="512">
        <f t="shared" si="31"/>
        <v>0</v>
      </c>
      <c r="J563" s="512"/>
      <c r="K563" s="649"/>
      <c r="L563" s="518"/>
      <c r="M563" s="649"/>
      <c r="N563" s="518"/>
      <c r="O563" s="518"/>
    </row>
    <row r="564" spans="3:15">
      <c r="C564" s="508">
        <f>IF(D542="","-",+C563+1)</f>
        <v>2032</v>
      </c>
      <c r="D564" s="471">
        <f t="shared" si="32"/>
        <v>9375649.2222222127</v>
      </c>
      <c r="E564" s="515">
        <f t="shared" si="35"/>
        <v>348321.33333333331</v>
      </c>
      <c r="F564" s="471">
        <f t="shared" si="30"/>
        <v>9027327.8888888787</v>
      </c>
      <c r="G564" s="950">
        <f t="shared" si="33"/>
        <v>1362136.9551547102</v>
      </c>
      <c r="H564" s="953">
        <f t="shared" si="34"/>
        <v>1362136.9551547102</v>
      </c>
      <c r="I564" s="512">
        <f t="shared" si="31"/>
        <v>0</v>
      </c>
      <c r="J564" s="512"/>
      <c r="K564" s="649"/>
      <c r="L564" s="518"/>
      <c r="M564" s="649"/>
      <c r="N564" s="518"/>
      <c r="O564" s="518"/>
    </row>
    <row r="565" spans="3:15">
      <c r="C565" s="508">
        <f>IF(D542="","-",+C564+1)</f>
        <v>2033</v>
      </c>
      <c r="D565" s="471">
        <f t="shared" si="32"/>
        <v>9027327.8888888787</v>
      </c>
      <c r="E565" s="515">
        <f t="shared" si="35"/>
        <v>348321.33333333331</v>
      </c>
      <c r="F565" s="471">
        <f t="shared" si="30"/>
        <v>8679006.5555555448</v>
      </c>
      <c r="G565" s="950">
        <f t="shared" si="33"/>
        <v>1323759.0767261409</v>
      </c>
      <c r="H565" s="953">
        <f t="shared" si="34"/>
        <v>1323759.0767261409</v>
      </c>
      <c r="I565" s="512">
        <f t="shared" si="31"/>
        <v>0</v>
      </c>
      <c r="J565" s="512"/>
      <c r="K565" s="649"/>
      <c r="L565" s="518"/>
      <c r="M565" s="649"/>
      <c r="N565" s="518"/>
      <c r="O565" s="518"/>
    </row>
    <row r="566" spans="3:15">
      <c r="C566" s="508">
        <f>IF(D542="","-",+C565+1)</f>
        <v>2034</v>
      </c>
      <c r="D566" s="471">
        <f t="shared" si="32"/>
        <v>8679006.5555555448</v>
      </c>
      <c r="E566" s="515">
        <f t="shared" si="35"/>
        <v>348321.33333333331</v>
      </c>
      <c r="F566" s="471">
        <f t="shared" si="30"/>
        <v>8330685.2222222118</v>
      </c>
      <c r="G566" s="950">
        <f t="shared" si="33"/>
        <v>1285381.1982975714</v>
      </c>
      <c r="H566" s="953">
        <f t="shared" si="34"/>
        <v>1285381.1982975714</v>
      </c>
      <c r="I566" s="512">
        <f t="shared" si="31"/>
        <v>0</v>
      </c>
      <c r="J566" s="512"/>
      <c r="K566" s="649"/>
      <c r="L566" s="518"/>
      <c r="M566" s="649"/>
      <c r="N566" s="518"/>
      <c r="O566" s="518"/>
    </row>
    <row r="567" spans="3:15">
      <c r="C567" s="508">
        <f>IF(D542="","-",+C566+1)</f>
        <v>2035</v>
      </c>
      <c r="D567" s="471">
        <f t="shared" si="32"/>
        <v>8330685.2222222118</v>
      </c>
      <c r="E567" s="515">
        <f t="shared" si="35"/>
        <v>348321.33333333331</v>
      </c>
      <c r="F567" s="471">
        <f t="shared" si="30"/>
        <v>7982363.8888888787</v>
      </c>
      <c r="G567" s="950">
        <f t="shared" si="33"/>
        <v>1247003.3198690016</v>
      </c>
      <c r="H567" s="953">
        <f t="shared" si="34"/>
        <v>1247003.3198690016</v>
      </c>
      <c r="I567" s="512">
        <f t="shared" si="31"/>
        <v>0</v>
      </c>
      <c r="J567" s="512"/>
      <c r="K567" s="649"/>
      <c r="L567" s="518"/>
      <c r="M567" s="649"/>
      <c r="N567" s="518"/>
      <c r="O567" s="518"/>
    </row>
    <row r="568" spans="3:15">
      <c r="C568" s="508">
        <f>IF(D542="","-",+C567+1)</f>
        <v>2036</v>
      </c>
      <c r="D568" s="471">
        <f t="shared" si="32"/>
        <v>7982363.8888888787</v>
      </c>
      <c r="E568" s="515">
        <f t="shared" si="35"/>
        <v>348321.33333333331</v>
      </c>
      <c r="F568" s="471">
        <f t="shared" si="30"/>
        <v>7634042.5555555457</v>
      </c>
      <c r="G568" s="950">
        <f t="shared" si="33"/>
        <v>1208625.4414404323</v>
      </c>
      <c r="H568" s="953">
        <f t="shared" si="34"/>
        <v>1208625.4414404323</v>
      </c>
      <c r="I568" s="512">
        <f t="shared" si="31"/>
        <v>0</v>
      </c>
      <c r="J568" s="512"/>
      <c r="K568" s="649"/>
      <c r="L568" s="518"/>
      <c r="M568" s="649"/>
      <c r="N568" s="518"/>
      <c r="O568" s="518"/>
    </row>
    <row r="569" spans="3:15">
      <c r="C569" s="508">
        <f>IF(D542="","-",+C568+1)</f>
        <v>2037</v>
      </c>
      <c r="D569" s="471">
        <f t="shared" si="32"/>
        <v>7634042.5555555457</v>
      </c>
      <c r="E569" s="515">
        <f t="shared" si="35"/>
        <v>348321.33333333331</v>
      </c>
      <c r="F569" s="471">
        <f t="shared" si="30"/>
        <v>7285721.2222222127</v>
      </c>
      <c r="G569" s="950">
        <f t="shared" si="33"/>
        <v>1170247.5630118628</v>
      </c>
      <c r="H569" s="953">
        <f t="shared" si="34"/>
        <v>1170247.5630118628</v>
      </c>
      <c r="I569" s="512">
        <f t="shared" si="31"/>
        <v>0</v>
      </c>
      <c r="J569" s="512"/>
      <c r="K569" s="649"/>
      <c r="L569" s="518"/>
      <c r="M569" s="649"/>
      <c r="N569" s="518"/>
      <c r="O569" s="518"/>
    </row>
    <row r="570" spans="3:15">
      <c r="C570" s="508">
        <f>IF(D542="","-",+C569+1)</f>
        <v>2038</v>
      </c>
      <c r="D570" s="471">
        <f t="shared" si="32"/>
        <v>7285721.2222222127</v>
      </c>
      <c r="E570" s="515">
        <f t="shared" si="35"/>
        <v>348321.33333333331</v>
      </c>
      <c r="F570" s="471">
        <f t="shared" si="30"/>
        <v>6937399.8888888797</v>
      </c>
      <c r="G570" s="950">
        <f t="shared" si="33"/>
        <v>1131869.6845832933</v>
      </c>
      <c r="H570" s="953">
        <f t="shared" si="34"/>
        <v>1131869.6845832933</v>
      </c>
      <c r="I570" s="512">
        <f t="shared" si="31"/>
        <v>0</v>
      </c>
      <c r="J570" s="512"/>
      <c r="K570" s="649"/>
      <c r="L570" s="518"/>
      <c r="M570" s="649"/>
      <c r="N570" s="518"/>
      <c r="O570" s="518"/>
    </row>
    <row r="571" spans="3:15">
      <c r="C571" s="508">
        <f>IF(D542="","-",+C570+1)</f>
        <v>2039</v>
      </c>
      <c r="D571" s="471">
        <f t="shared" si="32"/>
        <v>6937399.8888888797</v>
      </c>
      <c r="E571" s="515">
        <f t="shared" si="35"/>
        <v>348321.33333333331</v>
      </c>
      <c r="F571" s="471">
        <f t="shared" si="30"/>
        <v>6589078.5555555467</v>
      </c>
      <c r="G571" s="950">
        <f t="shared" si="33"/>
        <v>1093491.8061547237</v>
      </c>
      <c r="H571" s="953">
        <f t="shared" si="34"/>
        <v>1093491.8061547237</v>
      </c>
      <c r="I571" s="512">
        <f t="shared" si="31"/>
        <v>0</v>
      </c>
      <c r="J571" s="512"/>
      <c r="K571" s="649"/>
      <c r="L571" s="518"/>
      <c r="M571" s="649"/>
      <c r="N571" s="518"/>
      <c r="O571" s="518"/>
    </row>
    <row r="572" spans="3:15">
      <c r="C572" s="508">
        <f>IF(D542="","-",+C571+1)</f>
        <v>2040</v>
      </c>
      <c r="D572" s="471">
        <f t="shared" si="32"/>
        <v>6589078.5555555467</v>
      </c>
      <c r="E572" s="515">
        <f t="shared" si="35"/>
        <v>348321.33333333331</v>
      </c>
      <c r="F572" s="471">
        <f t="shared" si="30"/>
        <v>6240757.2222222136</v>
      </c>
      <c r="G572" s="950">
        <f t="shared" si="33"/>
        <v>1055113.9277261544</v>
      </c>
      <c r="H572" s="953">
        <f t="shared" si="34"/>
        <v>1055113.9277261544</v>
      </c>
      <c r="I572" s="512">
        <f t="shared" si="31"/>
        <v>0</v>
      </c>
      <c r="J572" s="512"/>
      <c r="K572" s="649"/>
      <c r="L572" s="518"/>
      <c r="M572" s="649"/>
      <c r="N572" s="518"/>
      <c r="O572" s="518"/>
    </row>
    <row r="573" spans="3:15">
      <c r="C573" s="508">
        <f>IF(D542="","-",+C572+1)</f>
        <v>2041</v>
      </c>
      <c r="D573" s="471">
        <f t="shared" si="32"/>
        <v>6240757.2222222136</v>
      </c>
      <c r="E573" s="515">
        <f t="shared" si="35"/>
        <v>348321.33333333331</v>
      </c>
      <c r="F573" s="471">
        <f t="shared" si="30"/>
        <v>5892435.8888888806</v>
      </c>
      <c r="G573" s="950">
        <f t="shared" si="33"/>
        <v>1016736.0492975849</v>
      </c>
      <c r="H573" s="953">
        <f t="shared" si="34"/>
        <v>1016736.0492975849</v>
      </c>
      <c r="I573" s="512">
        <f t="shared" si="31"/>
        <v>0</v>
      </c>
      <c r="J573" s="512"/>
      <c r="K573" s="649"/>
      <c r="L573" s="518"/>
      <c r="M573" s="649"/>
      <c r="N573" s="518"/>
      <c r="O573" s="518"/>
    </row>
    <row r="574" spans="3:15">
      <c r="C574" s="508">
        <f>IF(D542="","-",+C573+1)</f>
        <v>2042</v>
      </c>
      <c r="D574" s="471">
        <f t="shared" si="32"/>
        <v>5892435.8888888806</v>
      </c>
      <c r="E574" s="515">
        <f t="shared" si="35"/>
        <v>348321.33333333331</v>
      </c>
      <c r="F574" s="471">
        <f t="shared" si="30"/>
        <v>5544114.5555555476</v>
      </c>
      <c r="G574" s="950">
        <f t="shared" si="33"/>
        <v>978358.17086901539</v>
      </c>
      <c r="H574" s="953">
        <f t="shared" si="34"/>
        <v>978358.17086901539</v>
      </c>
      <c r="I574" s="512">
        <f t="shared" si="31"/>
        <v>0</v>
      </c>
      <c r="J574" s="512"/>
      <c r="K574" s="649"/>
      <c r="L574" s="518"/>
      <c r="M574" s="649"/>
      <c r="N574" s="518"/>
      <c r="O574" s="518"/>
    </row>
    <row r="575" spans="3:15">
      <c r="C575" s="508">
        <f>IF(D542="","-",+C574+1)</f>
        <v>2043</v>
      </c>
      <c r="D575" s="471">
        <f t="shared" si="32"/>
        <v>5544114.5555555476</v>
      </c>
      <c r="E575" s="515">
        <f t="shared" si="35"/>
        <v>348321.33333333331</v>
      </c>
      <c r="F575" s="471">
        <f t="shared" si="30"/>
        <v>5195793.2222222146</v>
      </c>
      <c r="G575" s="950">
        <f t="shared" si="33"/>
        <v>939980.29244044586</v>
      </c>
      <c r="H575" s="953">
        <f t="shared" si="34"/>
        <v>939980.29244044586</v>
      </c>
      <c r="I575" s="512">
        <f t="shared" si="31"/>
        <v>0</v>
      </c>
      <c r="J575" s="512"/>
      <c r="K575" s="649"/>
      <c r="L575" s="518"/>
      <c r="M575" s="649"/>
      <c r="N575" s="518"/>
      <c r="O575" s="518"/>
    </row>
    <row r="576" spans="3:15">
      <c r="C576" s="508">
        <f>IF(D542="","-",+C575+1)</f>
        <v>2044</v>
      </c>
      <c r="D576" s="471">
        <f t="shared" si="32"/>
        <v>5195793.2222222146</v>
      </c>
      <c r="E576" s="515">
        <f t="shared" si="35"/>
        <v>348321.33333333331</v>
      </c>
      <c r="F576" s="471">
        <f t="shared" si="30"/>
        <v>4847471.8888888815</v>
      </c>
      <c r="G576" s="959">
        <f t="shared" si="33"/>
        <v>901602.41401187656</v>
      </c>
      <c r="H576" s="953">
        <f t="shared" si="34"/>
        <v>901602.41401187656</v>
      </c>
      <c r="I576" s="512">
        <f t="shared" si="31"/>
        <v>0</v>
      </c>
      <c r="J576" s="512"/>
      <c r="K576" s="649"/>
      <c r="L576" s="518"/>
      <c r="M576" s="649"/>
      <c r="N576" s="518"/>
      <c r="O576" s="518"/>
    </row>
    <row r="577" spans="3:15">
      <c r="C577" s="508">
        <f>IF(D542="","-",+C576+1)</f>
        <v>2045</v>
      </c>
      <c r="D577" s="471">
        <f t="shared" si="32"/>
        <v>4847471.8888888815</v>
      </c>
      <c r="E577" s="515">
        <f t="shared" si="35"/>
        <v>348321.33333333331</v>
      </c>
      <c r="F577" s="471">
        <f t="shared" si="30"/>
        <v>4499150.5555555485</v>
      </c>
      <c r="G577" s="950">
        <f t="shared" si="33"/>
        <v>863224.5355833068</v>
      </c>
      <c r="H577" s="953">
        <f t="shared" si="34"/>
        <v>863224.5355833068</v>
      </c>
      <c r="I577" s="512">
        <f t="shared" si="31"/>
        <v>0</v>
      </c>
      <c r="J577" s="512"/>
      <c r="K577" s="649"/>
      <c r="L577" s="518"/>
      <c r="M577" s="649"/>
      <c r="N577" s="518"/>
      <c r="O577" s="518"/>
    </row>
    <row r="578" spans="3:15">
      <c r="C578" s="508">
        <f>IF(D542="","-",+C577+1)</f>
        <v>2046</v>
      </c>
      <c r="D578" s="471">
        <f t="shared" si="32"/>
        <v>4499150.5555555485</v>
      </c>
      <c r="E578" s="515">
        <f t="shared" si="35"/>
        <v>348321.33333333331</v>
      </c>
      <c r="F578" s="471">
        <f t="shared" si="30"/>
        <v>4150829.222222215</v>
      </c>
      <c r="G578" s="950">
        <f t="shared" si="33"/>
        <v>824846.65715473739</v>
      </c>
      <c r="H578" s="953">
        <f t="shared" si="34"/>
        <v>824846.65715473739</v>
      </c>
      <c r="I578" s="512">
        <f t="shared" si="31"/>
        <v>0</v>
      </c>
      <c r="J578" s="512"/>
      <c r="K578" s="649"/>
      <c r="L578" s="518"/>
      <c r="M578" s="649"/>
      <c r="N578" s="518"/>
      <c r="O578" s="518"/>
    </row>
    <row r="579" spans="3:15">
      <c r="C579" s="508">
        <f>IF(D542="","-",+C578+1)</f>
        <v>2047</v>
      </c>
      <c r="D579" s="471">
        <f t="shared" si="32"/>
        <v>4150829.222222215</v>
      </c>
      <c r="E579" s="515">
        <f t="shared" si="35"/>
        <v>348321.33333333331</v>
      </c>
      <c r="F579" s="471">
        <f t="shared" si="30"/>
        <v>3802507.8888888815</v>
      </c>
      <c r="G579" s="950">
        <f t="shared" si="33"/>
        <v>786468.77872616798</v>
      </c>
      <c r="H579" s="953">
        <f t="shared" si="34"/>
        <v>786468.77872616798</v>
      </c>
      <c r="I579" s="512">
        <f t="shared" si="31"/>
        <v>0</v>
      </c>
      <c r="J579" s="512"/>
      <c r="K579" s="649"/>
      <c r="L579" s="518"/>
      <c r="M579" s="649"/>
      <c r="N579" s="518"/>
      <c r="O579" s="518"/>
    </row>
    <row r="580" spans="3:15">
      <c r="C580" s="508">
        <f>IF(D542="","-",+C579+1)</f>
        <v>2048</v>
      </c>
      <c r="D580" s="471">
        <f t="shared" si="32"/>
        <v>3802507.8888888815</v>
      </c>
      <c r="E580" s="515">
        <f t="shared" si="35"/>
        <v>348321.33333333331</v>
      </c>
      <c r="F580" s="471">
        <f t="shared" si="30"/>
        <v>3454186.5555555481</v>
      </c>
      <c r="G580" s="950">
        <f t="shared" si="33"/>
        <v>748090.90029759833</v>
      </c>
      <c r="H580" s="953">
        <f t="shared" si="34"/>
        <v>748090.90029759833</v>
      </c>
      <c r="I580" s="512">
        <f t="shared" si="31"/>
        <v>0</v>
      </c>
      <c r="J580" s="512"/>
      <c r="K580" s="649"/>
      <c r="L580" s="518"/>
      <c r="M580" s="649"/>
      <c r="N580" s="518"/>
      <c r="O580" s="518"/>
    </row>
    <row r="581" spans="3:15">
      <c r="C581" s="508">
        <f>IF(D542="","-",+C580+1)</f>
        <v>2049</v>
      </c>
      <c r="D581" s="471">
        <f t="shared" si="32"/>
        <v>3454186.5555555481</v>
      </c>
      <c r="E581" s="515">
        <f t="shared" si="35"/>
        <v>348321.33333333331</v>
      </c>
      <c r="F581" s="471">
        <f t="shared" si="30"/>
        <v>3105865.2222222146</v>
      </c>
      <c r="G581" s="950">
        <f t="shared" si="33"/>
        <v>709713.0218690288</v>
      </c>
      <c r="H581" s="953">
        <f t="shared" si="34"/>
        <v>709713.0218690288</v>
      </c>
      <c r="I581" s="512">
        <f t="shared" si="31"/>
        <v>0</v>
      </c>
      <c r="J581" s="512"/>
      <c r="K581" s="649"/>
      <c r="L581" s="518"/>
      <c r="M581" s="649"/>
      <c r="N581" s="518"/>
      <c r="O581" s="518"/>
    </row>
    <row r="582" spans="3:15">
      <c r="C582" s="508">
        <f>IF(D542="","-",+C581+1)</f>
        <v>2050</v>
      </c>
      <c r="D582" s="471">
        <f t="shared" si="32"/>
        <v>3105865.2222222146</v>
      </c>
      <c r="E582" s="515">
        <f t="shared" si="35"/>
        <v>348321.33333333331</v>
      </c>
      <c r="F582" s="471">
        <f t="shared" si="30"/>
        <v>2757543.8888888811</v>
      </c>
      <c r="G582" s="950">
        <f t="shared" si="33"/>
        <v>671335.14344045916</v>
      </c>
      <c r="H582" s="953">
        <f t="shared" si="34"/>
        <v>671335.14344045916</v>
      </c>
      <c r="I582" s="512">
        <f t="shared" si="31"/>
        <v>0</v>
      </c>
      <c r="J582" s="512"/>
      <c r="K582" s="649"/>
      <c r="L582" s="518"/>
      <c r="M582" s="649"/>
      <c r="N582" s="518"/>
      <c r="O582" s="518"/>
    </row>
    <row r="583" spans="3:15">
      <c r="C583" s="508">
        <f>IF(D542="","-",+C582+1)</f>
        <v>2051</v>
      </c>
      <c r="D583" s="471">
        <f t="shared" si="32"/>
        <v>2757543.8888888811</v>
      </c>
      <c r="E583" s="515">
        <f t="shared" si="35"/>
        <v>348321.33333333331</v>
      </c>
      <c r="F583" s="471">
        <f t="shared" si="30"/>
        <v>2409222.5555555476</v>
      </c>
      <c r="G583" s="950">
        <f t="shared" si="33"/>
        <v>632957.26501188974</v>
      </c>
      <c r="H583" s="953">
        <f t="shared" si="34"/>
        <v>632957.26501188974</v>
      </c>
      <c r="I583" s="512">
        <f t="shared" si="31"/>
        <v>0</v>
      </c>
      <c r="J583" s="512"/>
      <c r="K583" s="649"/>
      <c r="L583" s="518"/>
      <c r="M583" s="649"/>
      <c r="N583" s="518"/>
      <c r="O583" s="518"/>
    </row>
    <row r="584" spans="3:15">
      <c r="C584" s="508">
        <f>IF(D542="","-",+C583+1)</f>
        <v>2052</v>
      </c>
      <c r="D584" s="471">
        <f t="shared" si="32"/>
        <v>2409222.5555555476</v>
      </c>
      <c r="E584" s="515">
        <f t="shared" si="35"/>
        <v>348321.33333333331</v>
      </c>
      <c r="F584" s="471">
        <f t="shared" si="30"/>
        <v>2060901.2222222143</v>
      </c>
      <c r="G584" s="950">
        <f t="shared" si="33"/>
        <v>594579.38658332021</v>
      </c>
      <c r="H584" s="953">
        <f t="shared" si="34"/>
        <v>594579.38658332021</v>
      </c>
      <c r="I584" s="512">
        <f t="shared" si="31"/>
        <v>0</v>
      </c>
      <c r="J584" s="512"/>
      <c r="K584" s="649"/>
      <c r="L584" s="518"/>
      <c r="M584" s="649"/>
      <c r="N584" s="518"/>
      <c r="O584" s="518"/>
    </row>
    <row r="585" spans="3:15">
      <c r="C585" s="508">
        <f>IF(D542="","-",+C584+1)</f>
        <v>2053</v>
      </c>
      <c r="D585" s="471">
        <f t="shared" si="32"/>
        <v>2060901.2222222143</v>
      </c>
      <c r="E585" s="515">
        <f t="shared" si="35"/>
        <v>348321.33333333331</v>
      </c>
      <c r="F585" s="471">
        <f t="shared" si="30"/>
        <v>1712579.8888888811</v>
      </c>
      <c r="G585" s="950">
        <f t="shared" si="33"/>
        <v>556201.50815475069</v>
      </c>
      <c r="H585" s="953">
        <f t="shared" si="34"/>
        <v>556201.50815475069</v>
      </c>
      <c r="I585" s="512">
        <f t="shared" si="31"/>
        <v>0</v>
      </c>
      <c r="J585" s="512"/>
      <c r="K585" s="649"/>
      <c r="L585" s="518"/>
      <c r="M585" s="649"/>
      <c r="N585" s="518"/>
      <c r="O585" s="518"/>
    </row>
    <row r="586" spans="3:15">
      <c r="C586" s="508">
        <f>IF(D542="","-",+C585+1)</f>
        <v>2054</v>
      </c>
      <c r="D586" s="471">
        <f t="shared" si="32"/>
        <v>1712579.8888888811</v>
      </c>
      <c r="E586" s="515">
        <f t="shared" si="35"/>
        <v>348321.33333333331</v>
      </c>
      <c r="F586" s="471">
        <f t="shared" si="30"/>
        <v>1364258.5555555478</v>
      </c>
      <c r="G586" s="950">
        <f t="shared" si="33"/>
        <v>517823.62972618116</v>
      </c>
      <c r="H586" s="953">
        <f t="shared" si="34"/>
        <v>517823.62972618116</v>
      </c>
      <c r="I586" s="512">
        <f t="shared" si="31"/>
        <v>0</v>
      </c>
      <c r="J586" s="512"/>
      <c r="K586" s="649"/>
      <c r="L586" s="518"/>
      <c r="M586" s="649"/>
      <c r="N586" s="518"/>
      <c r="O586" s="518"/>
    </row>
    <row r="587" spans="3:15">
      <c r="C587" s="508">
        <f>IF(D542="","-",+C586+1)</f>
        <v>2055</v>
      </c>
      <c r="D587" s="471">
        <f t="shared" si="32"/>
        <v>1364258.5555555478</v>
      </c>
      <c r="E587" s="515">
        <f t="shared" si="35"/>
        <v>348321.33333333331</v>
      </c>
      <c r="F587" s="471">
        <f t="shared" si="30"/>
        <v>1015937.2222222146</v>
      </c>
      <c r="G587" s="950">
        <f t="shared" si="33"/>
        <v>479445.75129761163</v>
      </c>
      <c r="H587" s="953">
        <f t="shared" si="34"/>
        <v>479445.75129761163</v>
      </c>
      <c r="I587" s="512">
        <f t="shared" si="31"/>
        <v>0</v>
      </c>
      <c r="J587" s="512"/>
      <c r="K587" s="649"/>
      <c r="L587" s="518"/>
      <c r="M587" s="649"/>
      <c r="N587" s="518"/>
      <c r="O587" s="518"/>
    </row>
    <row r="588" spans="3:15">
      <c r="C588" s="508">
        <f>IF(D542="","-",+C587+1)</f>
        <v>2056</v>
      </c>
      <c r="D588" s="471">
        <f t="shared" si="32"/>
        <v>1015937.2222222146</v>
      </c>
      <c r="E588" s="515">
        <f t="shared" si="35"/>
        <v>348321.33333333331</v>
      </c>
      <c r="F588" s="471">
        <f t="shared" si="30"/>
        <v>667615.88888888131</v>
      </c>
      <c r="G588" s="950">
        <f t="shared" si="33"/>
        <v>441067.87286904216</v>
      </c>
      <c r="H588" s="953">
        <f t="shared" si="34"/>
        <v>441067.87286904216</v>
      </c>
      <c r="I588" s="512">
        <f t="shared" si="31"/>
        <v>0</v>
      </c>
      <c r="J588" s="512"/>
      <c r="K588" s="649"/>
      <c r="L588" s="518"/>
      <c r="M588" s="649"/>
      <c r="N588" s="518"/>
      <c r="O588" s="518"/>
    </row>
    <row r="589" spans="3:15">
      <c r="C589" s="508">
        <f>IF(D542="","-",+C588+1)</f>
        <v>2057</v>
      </c>
      <c r="D589" s="471">
        <f t="shared" si="32"/>
        <v>667615.88888888131</v>
      </c>
      <c r="E589" s="515">
        <f t="shared" si="35"/>
        <v>348321.33333333331</v>
      </c>
      <c r="F589" s="471">
        <f t="shared" si="30"/>
        <v>319294.555555548</v>
      </c>
      <c r="G589" s="950">
        <f t="shared" si="33"/>
        <v>402689.99444047263</v>
      </c>
      <c r="H589" s="953">
        <f t="shared" si="34"/>
        <v>402689.99444047263</v>
      </c>
      <c r="I589" s="512">
        <f t="shared" si="31"/>
        <v>0</v>
      </c>
      <c r="J589" s="512"/>
      <c r="K589" s="649"/>
      <c r="L589" s="518"/>
      <c r="M589" s="649"/>
      <c r="N589" s="518"/>
      <c r="O589" s="518"/>
    </row>
    <row r="590" spans="3:15">
      <c r="C590" s="508">
        <f>IF(D542="","-",+C589+1)</f>
        <v>2058</v>
      </c>
      <c r="D590" s="471">
        <f t="shared" si="32"/>
        <v>319294.555555548</v>
      </c>
      <c r="E590" s="515">
        <f t="shared" si="35"/>
        <v>319294.555555548</v>
      </c>
      <c r="F590" s="471">
        <f t="shared" si="30"/>
        <v>0</v>
      </c>
      <c r="G590" s="950">
        <f t="shared" si="33"/>
        <v>336884.41650197527</v>
      </c>
      <c r="H590" s="953">
        <f t="shared" si="34"/>
        <v>336884.41650197527</v>
      </c>
      <c r="I590" s="512">
        <f t="shared" si="31"/>
        <v>0</v>
      </c>
      <c r="J590" s="512"/>
      <c r="K590" s="649"/>
      <c r="L590" s="518"/>
      <c r="M590" s="649"/>
      <c r="N590" s="518"/>
      <c r="O590" s="518"/>
    </row>
    <row r="591" spans="3:15">
      <c r="C591" s="508">
        <f>IF(D542="","-",+C590+1)</f>
        <v>2059</v>
      </c>
      <c r="D591" s="471">
        <f t="shared" si="32"/>
        <v>0</v>
      </c>
      <c r="E591" s="515">
        <f t="shared" si="35"/>
        <v>0</v>
      </c>
      <c r="F591" s="471">
        <f t="shared" si="30"/>
        <v>0</v>
      </c>
      <c r="G591" s="950">
        <f t="shared" si="33"/>
        <v>0</v>
      </c>
      <c r="H591" s="953">
        <f t="shared" si="34"/>
        <v>0</v>
      </c>
      <c r="I591" s="512">
        <f t="shared" si="31"/>
        <v>0</v>
      </c>
      <c r="J591" s="512"/>
      <c r="K591" s="649"/>
      <c r="L591" s="518"/>
      <c r="M591" s="649"/>
      <c r="N591" s="518"/>
      <c r="O591" s="518"/>
    </row>
    <row r="592" spans="3:15">
      <c r="C592" s="508">
        <f>IF(D542="","-",+C591+1)</f>
        <v>2060</v>
      </c>
      <c r="D592" s="471">
        <f t="shared" si="32"/>
        <v>0</v>
      </c>
      <c r="E592" s="515">
        <f t="shared" si="35"/>
        <v>0</v>
      </c>
      <c r="F592" s="471">
        <f t="shared" si="30"/>
        <v>0</v>
      </c>
      <c r="G592" s="950">
        <f t="shared" si="33"/>
        <v>0</v>
      </c>
      <c r="H592" s="953">
        <f t="shared" si="34"/>
        <v>0</v>
      </c>
      <c r="I592" s="512">
        <f t="shared" si="31"/>
        <v>0</v>
      </c>
      <c r="J592" s="512"/>
      <c r="K592" s="649"/>
      <c r="L592" s="518"/>
      <c r="M592" s="649"/>
      <c r="N592" s="518"/>
      <c r="O592" s="518"/>
    </row>
    <row r="593" spans="3:15">
      <c r="C593" s="508">
        <f>IF(D542="","-",+C592+1)</f>
        <v>2061</v>
      </c>
      <c r="D593" s="471">
        <f t="shared" si="32"/>
        <v>0</v>
      </c>
      <c r="E593" s="515">
        <f t="shared" si="35"/>
        <v>0</v>
      </c>
      <c r="F593" s="471">
        <f t="shared" si="30"/>
        <v>0</v>
      </c>
      <c r="G593" s="950">
        <f t="shared" si="33"/>
        <v>0</v>
      </c>
      <c r="H593" s="953">
        <f t="shared" si="34"/>
        <v>0</v>
      </c>
      <c r="I593" s="512">
        <f t="shared" si="31"/>
        <v>0</v>
      </c>
      <c r="J593" s="512"/>
      <c r="K593" s="649"/>
      <c r="L593" s="518"/>
      <c r="M593" s="649"/>
      <c r="N593" s="518"/>
      <c r="O593" s="518"/>
    </row>
    <row r="594" spans="3:15">
      <c r="C594" s="508">
        <f>IF(D542="","-",+C593+1)</f>
        <v>2062</v>
      </c>
      <c r="D594" s="471">
        <f t="shared" si="32"/>
        <v>0</v>
      </c>
      <c r="E594" s="515">
        <f t="shared" si="35"/>
        <v>0</v>
      </c>
      <c r="F594" s="471">
        <f t="shared" si="30"/>
        <v>0</v>
      </c>
      <c r="G594" s="950">
        <f t="shared" si="33"/>
        <v>0</v>
      </c>
      <c r="H594" s="953">
        <f t="shared" si="34"/>
        <v>0</v>
      </c>
      <c r="I594" s="512">
        <f t="shared" si="31"/>
        <v>0</v>
      </c>
      <c r="J594" s="512"/>
      <c r="K594" s="649"/>
      <c r="L594" s="518"/>
      <c r="M594" s="649"/>
      <c r="N594" s="518"/>
      <c r="O594" s="518"/>
    </row>
    <row r="595" spans="3:15">
      <c r="C595" s="508">
        <f>IF(D542="","-",+C594+1)</f>
        <v>2063</v>
      </c>
      <c r="D595" s="471">
        <f t="shared" si="32"/>
        <v>0</v>
      </c>
      <c r="E595" s="515">
        <f t="shared" si="35"/>
        <v>0</v>
      </c>
      <c r="F595" s="471">
        <f t="shared" si="30"/>
        <v>0</v>
      </c>
      <c r="G595" s="950">
        <f t="shared" si="33"/>
        <v>0</v>
      </c>
      <c r="H595" s="953">
        <f t="shared" si="34"/>
        <v>0</v>
      </c>
      <c r="I595" s="512">
        <f t="shared" si="31"/>
        <v>0</v>
      </c>
      <c r="J595" s="512"/>
      <c r="K595" s="649"/>
      <c r="L595" s="518"/>
      <c r="M595" s="649"/>
      <c r="N595" s="518"/>
      <c r="O595" s="518"/>
    </row>
    <row r="596" spans="3:15">
      <c r="C596" s="508">
        <f>IF(D542="","-",+C595+1)</f>
        <v>2064</v>
      </c>
      <c r="D596" s="471">
        <f t="shared" si="32"/>
        <v>0</v>
      </c>
      <c r="E596" s="515">
        <f t="shared" si="35"/>
        <v>0</v>
      </c>
      <c r="F596" s="471">
        <f t="shared" si="30"/>
        <v>0</v>
      </c>
      <c r="G596" s="950">
        <f t="shared" si="33"/>
        <v>0</v>
      </c>
      <c r="H596" s="953">
        <f t="shared" si="34"/>
        <v>0</v>
      </c>
      <c r="I596" s="512">
        <f t="shared" si="31"/>
        <v>0</v>
      </c>
      <c r="J596" s="512"/>
      <c r="K596" s="649"/>
      <c r="L596" s="518"/>
      <c r="M596" s="649"/>
      <c r="N596" s="518"/>
      <c r="O596" s="518"/>
    </row>
    <row r="597" spans="3:15">
      <c r="C597" s="508">
        <f>IF(D542="","-",+C596+1)</f>
        <v>2065</v>
      </c>
      <c r="D597" s="471">
        <f t="shared" si="32"/>
        <v>0</v>
      </c>
      <c r="E597" s="515">
        <f t="shared" si="35"/>
        <v>0</v>
      </c>
      <c r="F597" s="471">
        <f t="shared" si="30"/>
        <v>0</v>
      </c>
      <c r="G597" s="950">
        <f t="shared" si="33"/>
        <v>0</v>
      </c>
      <c r="H597" s="953">
        <f t="shared" si="34"/>
        <v>0</v>
      </c>
      <c r="I597" s="512">
        <f t="shared" si="31"/>
        <v>0</v>
      </c>
      <c r="J597" s="512"/>
      <c r="K597" s="649"/>
      <c r="L597" s="518"/>
      <c r="M597" s="649"/>
      <c r="N597" s="518"/>
      <c r="O597" s="518"/>
    </row>
    <row r="598" spans="3:15">
      <c r="C598" s="508">
        <f>IF(D542="","-",+C597+1)</f>
        <v>2066</v>
      </c>
      <c r="D598" s="471">
        <f t="shared" si="32"/>
        <v>0</v>
      </c>
      <c r="E598" s="515">
        <f t="shared" si="35"/>
        <v>0</v>
      </c>
      <c r="F598" s="471">
        <f t="shared" si="30"/>
        <v>0</v>
      </c>
      <c r="G598" s="950">
        <f t="shared" si="33"/>
        <v>0</v>
      </c>
      <c r="H598" s="953">
        <f t="shared" si="34"/>
        <v>0</v>
      </c>
      <c r="I598" s="512">
        <f t="shared" si="31"/>
        <v>0</v>
      </c>
      <c r="J598" s="512"/>
      <c r="K598" s="649"/>
      <c r="L598" s="518"/>
      <c r="M598" s="649"/>
      <c r="N598" s="518"/>
      <c r="O598" s="518"/>
    </row>
    <row r="599" spans="3:15">
      <c r="C599" s="508">
        <f>IF(D542="","-",+C598+1)</f>
        <v>2067</v>
      </c>
      <c r="D599" s="471">
        <f t="shared" si="32"/>
        <v>0</v>
      </c>
      <c r="E599" s="515">
        <f t="shared" si="35"/>
        <v>0</v>
      </c>
      <c r="F599" s="471">
        <f t="shared" si="30"/>
        <v>0</v>
      </c>
      <c r="G599" s="950">
        <f t="shared" si="33"/>
        <v>0</v>
      </c>
      <c r="H599" s="953">
        <f t="shared" si="34"/>
        <v>0</v>
      </c>
      <c r="I599" s="512">
        <f t="shared" si="31"/>
        <v>0</v>
      </c>
      <c r="J599" s="512"/>
      <c r="K599" s="649"/>
      <c r="L599" s="518"/>
      <c r="M599" s="649"/>
      <c r="N599" s="518"/>
      <c r="O599" s="518"/>
    </row>
    <row r="600" spans="3:15">
      <c r="C600" s="508">
        <f>IF(D542="","-",+C599+1)</f>
        <v>2068</v>
      </c>
      <c r="D600" s="471">
        <f t="shared" si="32"/>
        <v>0</v>
      </c>
      <c r="E600" s="515">
        <f t="shared" si="35"/>
        <v>0</v>
      </c>
      <c r="F600" s="471">
        <f t="shared" si="30"/>
        <v>0</v>
      </c>
      <c r="G600" s="950">
        <f t="shared" si="33"/>
        <v>0</v>
      </c>
      <c r="H600" s="953">
        <f t="shared" si="34"/>
        <v>0</v>
      </c>
      <c r="I600" s="512">
        <f t="shared" si="31"/>
        <v>0</v>
      </c>
      <c r="J600" s="512"/>
      <c r="K600" s="649"/>
      <c r="L600" s="518"/>
      <c r="M600" s="649"/>
      <c r="N600" s="518"/>
      <c r="O600" s="518"/>
    </row>
    <row r="601" spans="3:15">
      <c r="C601" s="508">
        <f>IF(D542="","-",+C600+1)</f>
        <v>2069</v>
      </c>
      <c r="D601" s="471">
        <f t="shared" si="32"/>
        <v>0</v>
      </c>
      <c r="E601" s="515">
        <f t="shared" si="35"/>
        <v>0</v>
      </c>
      <c r="F601" s="471">
        <f t="shared" si="30"/>
        <v>0</v>
      </c>
      <c r="G601" s="950">
        <f t="shared" si="33"/>
        <v>0</v>
      </c>
      <c r="H601" s="953">
        <f t="shared" si="34"/>
        <v>0</v>
      </c>
      <c r="I601" s="512">
        <f t="shared" si="31"/>
        <v>0</v>
      </c>
      <c r="J601" s="512"/>
      <c r="K601" s="649"/>
      <c r="L601" s="518"/>
      <c r="M601" s="649"/>
      <c r="N601" s="518"/>
      <c r="O601" s="518"/>
    </row>
    <row r="602" spans="3:15">
      <c r="C602" s="508">
        <f>IF(D542="","-",+C601+1)</f>
        <v>2070</v>
      </c>
      <c r="D602" s="471">
        <f t="shared" si="32"/>
        <v>0</v>
      </c>
      <c r="E602" s="515">
        <f t="shared" si="35"/>
        <v>0</v>
      </c>
      <c r="F602" s="471">
        <f t="shared" si="30"/>
        <v>0</v>
      </c>
      <c r="G602" s="950">
        <f t="shared" si="33"/>
        <v>0</v>
      </c>
      <c r="H602" s="953">
        <f t="shared" si="34"/>
        <v>0</v>
      </c>
      <c r="I602" s="512">
        <f t="shared" si="31"/>
        <v>0</v>
      </c>
      <c r="J602" s="512"/>
      <c r="K602" s="649"/>
      <c r="L602" s="518"/>
      <c r="M602" s="649"/>
      <c r="N602" s="518"/>
      <c r="O602" s="518"/>
    </row>
    <row r="603" spans="3:15">
      <c r="C603" s="508">
        <f>IF(D542="","-",+C602+1)</f>
        <v>2071</v>
      </c>
      <c r="D603" s="471">
        <f t="shared" si="32"/>
        <v>0</v>
      </c>
      <c r="E603" s="515">
        <f t="shared" si="35"/>
        <v>0</v>
      </c>
      <c r="F603" s="471">
        <f t="shared" si="30"/>
        <v>0</v>
      </c>
      <c r="G603" s="950">
        <f t="shared" si="33"/>
        <v>0</v>
      </c>
      <c r="H603" s="953">
        <f t="shared" si="34"/>
        <v>0</v>
      </c>
      <c r="I603" s="512">
        <f t="shared" si="31"/>
        <v>0</v>
      </c>
      <c r="J603" s="512"/>
      <c r="K603" s="649"/>
      <c r="L603" s="518"/>
      <c r="M603" s="649"/>
      <c r="N603" s="518"/>
      <c r="O603" s="518"/>
    </row>
    <row r="604" spans="3:15">
      <c r="C604" s="508">
        <f>IF(D542="","-",+C603+1)</f>
        <v>2072</v>
      </c>
      <c r="D604" s="471">
        <f t="shared" si="32"/>
        <v>0</v>
      </c>
      <c r="E604" s="515">
        <f t="shared" si="35"/>
        <v>0</v>
      </c>
      <c r="F604" s="471">
        <f t="shared" si="30"/>
        <v>0</v>
      </c>
      <c r="G604" s="950">
        <f t="shared" si="33"/>
        <v>0</v>
      </c>
      <c r="H604" s="953">
        <f t="shared" si="34"/>
        <v>0</v>
      </c>
      <c r="I604" s="512">
        <f t="shared" si="31"/>
        <v>0</v>
      </c>
      <c r="J604" s="512"/>
      <c r="K604" s="649"/>
      <c r="L604" s="518"/>
      <c r="M604" s="649"/>
      <c r="N604" s="518"/>
      <c r="O604" s="518"/>
    </row>
    <row r="605" spans="3:15">
      <c r="C605" s="508">
        <f>IF(D542="","-",+C604+1)</f>
        <v>2073</v>
      </c>
      <c r="D605" s="471">
        <f t="shared" si="32"/>
        <v>0</v>
      </c>
      <c r="E605" s="515">
        <f t="shared" si="35"/>
        <v>0</v>
      </c>
      <c r="F605" s="471">
        <f t="shared" si="30"/>
        <v>0</v>
      </c>
      <c r="G605" s="950">
        <f t="shared" si="33"/>
        <v>0</v>
      </c>
      <c r="H605" s="953">
        <f t="shared" si="34"/>
        <v>0</v>
      </c>
      <c r="I605" s="512">
        <f t="shared" si="31"/>
        <v>0</v>
      </c>
      <c r="J605" s="512"/>
      <c r="K605" s="649"/>
      <c r="L605" s="518"/>
      <c r="M605" s="649"/>
      <c r="N605" s="518"/>
      <c r="O605" s="518"/>
    </row>
    <row r="606" spans="3:15">
      <c r="C606" s="508">
        <f>IF(D542="","-",+C605+1)</f>
        <v>2074</v>
      </c>
      <c r="D606" s="471">
        <f t="shared" si="32"/>
        <v>0</v>
      </c>
      <c r="E606" s="515">
        <f t="shared" si="35"/>
        <v>0</v>
      </c>
      <c r="F606" s="471">
        <f t="shared" si="30"/>
        <v>0</v>
      </c>
      <c r="G606" s="950">
        <f t="shared" si="33"/>
        <v>0</v>
      </c>
      <c r="H606" s="953">
        <f t="shared" si="34"/>
        <v>0</v>
      </c>
      <c r="I606" s="512">
        <f t="shared" si="31"/>
        <v>0</v>
      </c>
      <c r="J606" s="512"/>
      <c r="K606" s="649"/>
      <c r="L606" s="518"/>
      <c r="M606" s="649"/>
      <c r="N606" s="518"/>
      <c r="O606" s="518"/>
    </row>
    <row r="607" spans="3:15" ht="13.5" thickBot="1">
      <c r="C607" s="520">
        <f>IF(D542="","-",+C606+1)</f>
        <v>2075</v>
      </c>
      <c r="D607" s="521">
        <f t="shared" si="32"/>
        <v>0</v>
      </c>
      <c r="E607" s="522">
        <f t="shared" si="35"/>
        <v>0</v>
      </c>
      <c r="F607" s="521">
        <f t="shared" si="30"/>
        <v>0</v>
      </c>
      <c r="G607" s="960">
        <f t="shared" si="33"/>
        <v>0</v>
      </c>
      <c r="H607" s="960">
        <f t="shared" si="34"/>
        <v>0</v>
      </c>
      <c r="I607" s="524">
        <f t="shared" si="31"/>
        <v>0</v>
      </c>
      <c r="J607" s="512"/>
      <c r="K607" s="650"/>
      <c r="L607" s="526"/>
      <c r="M607" s="650"/>
      <c r="N607" s="526"/>
      <c r="O607" s="526"/>
    </row>
    <row r="608" spans="3:15">
      <c r="C608" s="471" t="s">
        <v>288</v>
      </c>
      <c r="D608" s="931"/>
      <c r="E608" s="931">
        <f>SUM(E548:E607)</f>
        <v>14629496</v>
      </c>
      <c r="F608" s="931"/>
      <c r="G608" s="931">
        <f>SUM(G548:G607)</f>
        <v>49956333.0934982</v>
      </c>
      <c r="H608" s="931">
        <f>SUM(H548:H607)</f>
        <v>49956333.0934982</v>
      </c>
      <c r="I608" s="931">
        <f>SUM(I548:I607)</f>
        <v>0</v>
      </c>
      <c r="J608" s="931"/>
      <c r="K608" s="931"/>
      <c r="L608" s="931"/>
      <c r="M608" s="931"/>
      <c r="N608" s="931"/>
      <c r="O608" s="4"/>
    </row>
    <row r="609" spans="1:16">
      <c r="D609" s="78"/>
      <c r="E609" s="4"/>
      <c r="F609" s="4"/>
      <c r="G609" s="4"/>
      <c r="H609" s="930"/>
      <c r="I609" s="930"/>
      <c r="J609" s="931"/>
      <c r="K609" s="930"/>
      <c r="L609" s="930"/>
      <c r="M609" s="930"/>
      <c r="N609" s="930"/>
      <c r="O609" s="4"/>
    </row>
    <row r="610" spans="1:16">
      <c r="C610" s="4" t="s">
        <v>600</v>
      </c>
      <c r="D610" s="78"/>
      <c r="E610" s="4"/>
      <c r="F610" s="4"/>
      <c r="G610" s="4"/>
      <c r="H610" s="930"/>
      <c r="I610" s="930"/>
      <c r="J610" s="931"/>
      <c r="K610" s="930"/>
      <c r="L610" s="930"/>
      <c r="M610" s="930"/>
      <c r="N610" s="930"/>
      <c r="O610" s="4"/>
    </row>
    <row r="611" spans="1:16">
      <c r="D611" s="78"/>
      <c r="E611" s="4"/>
      <c r="F611" s="4"/>
      <c r="G611" s="4"/>
      <c r="H611" s="930"/>
      <c r="I611" s="930"/>
      <c r="J611" s="931"/>
      <c r="K611" s="930"/>
      <c r="L611" s="930"/>
      <c r="M611" s="930"/>
      <c r="N611" s="930"/>
      <c r="O611" s="4"/>
    </row>
    <row r="612" spans="1:16">
      <c r="C612" s="4" t="s">
        <v>601</v>
      </c>
      <c r="D612" s="471"/>
      <c r="E612" s="471"/>
      <c r="F612" s="471"/>
      <c r="G612" s="931"/>
      <c r="H612" s="931"/>
      <c r="I612" s="473"/>
      <c r="J612" s="473"/>
      <c r="K612" s="473"/>
      <c r="L612" s="473"/>
      <c r="M612" s="473"/>
      <c r="N612" s="473"/>
      <c r="O612" s="4"/>
    </row>
    <row r="613" spans="1:16">
      <c r="C613" s="4" t="s">
        <v>476</v>
      </c>
      <c r="D613" s="471"/>
      <c r="E613" s="471"/>
      <c r="F613" s="471"/>
      <c r="G613" s="931"/>
      <c r="H613" s="931"/>
      <c r="I613" s="473"/>
      <c r="J613" s="473"/>
      <c r="K613" s="473"/>
      <c r="L613" s="473"/>
      <c r="M613" s="473"/>
      <c r="N613" s="473"/>
      <c r="O613" s="4"/>
    </row>
    <row r="614" spans="1:16">
      <c r="C614" s="4" t="s">
        <v>289</v>
      </c>
      <c r="D614" s="471"/>
      <c r="E614" s="471"/>
      <c r="F614" s="471"/>
      <c r="G614" s="931"/>
      <c r="H614" s="931"/>
      <c r="I614" s="473"/>
      <c r="J614" s="473"/>
      <c r="K614" s="473"/>
      <c r="L614" s="473"/>
      <c r="M614" s="473"/>
      <c r="N614" s="473"/>
      <c r="O614" s="4"/>
    </row>
    <row r="615" spans="1:16">
      <c r="C615" s="472"/>
      <c r="D615" s="471"/>
      <c r="E615" s="471"/>
      <c r="F615" s="471"/>
      <c r="G615" s="931"/>
      <c r="H615" s="931"/>
      <c r="I615" s="473"/>
      <c r="J615" s="473"/>
      <c r="K615" s="473"/>
      <c r="L615" s="473"/>
      <c r="M615" s="473"/>
      <c r="N615" s="473"/>
      <c r="O615" s="4"/>
    </row>
    <row r="616" spans="1:16">
      <c r="C616" s="1303" t="s">
        <v>460</v>
      </c>
      <c r="D616" s="1303"/>
      <c r="E616" s="1303"/>
      <c r="F616" s="1303"/>
      <c r="G616" s="1303"/>
      <c r="H616" s="1303"/>
      <c r="I616" s="1303"/>
      <c r="J616" s="1303"/>
      <c r="K616" s="1303"/>
      <c r="L616" s="1303"/>
      <c r="M616" s="1303"/>
      <c r="N616" s="1303"/>
      <c r="O616" s="1303"/>
    </row>
    <row r="617" spans="1:16">
      <c r="C617" s="1303"/>
      <c r="D617" s="1303"/>
      <c r="E617" s="1303"/>
      <c r="F617" s="1303"/>
      <c r="G617" s="1303"/>
      <c r="H617" s="1303"/>
      <c r="I617" s="1303"/>
      <c r="J617" s="1303"/>
      <c r="K617" s="1303"/>
      <c r="L617" s="1303"/>
      <c r="M617" s="1303"/>
      <c r="N617" s="1303"/>
      <c r="O617" s="1303"/>
    </row>
    <row r="618" spans="1:16" ht="20.25">
      <c r="A618" s="413" t="s">
        <v>927</v>
      </c>
      <c r="B618" s="4"/>
      <c r="C618" s="4"/>
      <c r="D618" s="78"/>
      <c r="E618" s="4"/>
      <c r="F618" s="80"/>
      <c r="G618" s="4"/>
      <c r="H618" s="930"/>
      <c r="K618" s="11"/>
      <c r="L618" s="11"/>
      <c r="M618" s="11"/>
      <c r="N618" s="11" t="str">
        <f>"Page "&amp;SUM(P$6:P618)&amp;" of "</f>
        <v xml:space="preserve">Page 8 of </v>
      </c>
      <c r="O618" s="414">
        <f>COUNT(P$6:P$59606)</f>
        <v>14</v>
      </c>
      <c r="P618" s="4">
        <v>1</v>
      </c>
    </row>
    <row r="619" spans="1:16">
      <c r="B619" s="4"/>
      <c r="C619" s="4"/>
      <c r="D619" s="78"/>
      <c r="E619" s="4"/>
      <c r="F619" s="4"/>
      <c r="G619" s="4"/>
      <c r="H619" s="930"/>
      <c r="I619" s="4"/>
      <c r="J619" s="4"/>
      <c r="K619" s="4"/>
      <c r="L619" s="4"/>
      <c r="M619" s="4"/>
      <c r="N619" s="4"/>
      <c r="O619" s="4"/>
    </row>
    <row r="620" spans="1:16" ht="18">
      <c r="B620" s="415" t="s">
        <v>174</v>
      </c>
      <c r="C620" s="474" t="s">
        <v>290</v>
      </c>
      <c r="D620" s="78"/>
      <c r="E620" s="4"/>
      <c r="F620" s="4"/>
      <c r="G620" s="4"/>
      <c r="H620" s="930"/>
      <c r="I620" s="930"/>
      <c r="J620" s="931"/>
      <c r="K620" s="930"/>
      <c r="L620" s="930"/>
      <c r="M620" s="930"/>
      <c r="N620" s="930"/>
      <c r="O620" s="4"/>
    </row>
    <row r="621" spans="1:16" ht="18.75">
      <c r="B621" s="415"/>
      <c r="C621" s="13"/>
      <c r="D621" s="78"/>
      <c r="E621" s="4"/>
      <c r="F621" s="4"/>
      <c r="G621" s="4"/>
      <c r="H621" s="930"/>
      <c r="I621" s="930"/>
      <c r="J621" s="931"/>
      <c r="K621" s="930"/>
      <c r="L621" s="930"/>
      <c r="M621" s="930"/>
      <c r="N621" s="930"/>
      <c r="O621" s="4"/>
    </row>
    <row r="622" spans="1:16" ht="18.75">
      <c r="B622" s="415"/>
      <c r="C622" s="13" t="s">
        <v>291</v>
      </c>
      <c r="D622" s="78"/>
      <c r="E622" s="4"/>
      <c r="F622" s="4"/>
      <c r="G622" s="4"/>
      <c r="H622" s="930"/>
      <c r="I622" s="930"/>
      <c r="J622" s="931"/>
      <c r="K622" s="930"/>
      <c r="L622" s="930"/>
      <c r="M622" s="930"/>
      <c r="N622" s="930"/>
      <c r="O622" s="4"/>
    </row>
    <row r="623" spans="1:16" ht="15.75" thickBot="1">
      <c r="C623" s="250"/>
      <c r="D623" s="78"/>
      <c r="E623" s="4"/>
      <c r="F623" s="4"/>
      <c r="G623" s="4"/>
      <c r="H623" s="930"/>
      <c r="I623" s="930"/>
      <c r="J623" s="931"/>
      <c r="K623" s="930"/>
      <c r="L623" s="930"/>
      <c r="M623" s="930"/>
      <c r="N623" s="930"/>
      <c r="O623" s="4"/>
    </row>
    <row r="624" spans="1:16" ht="15.75">
      <c r="C624" s="416" t="s">
        <v>292</v>
      </c>
      <c r="D624" s="78"/>
      <c r="E624" s="4"/>
      <c r="F624" s="4"/>
      <c r="G624" s="932"/>
      <c r="H624" s="4" t="s">
        <v>271</v>
      </c>
      <c r="I624" s="4"/>
      <c r="J624" s="4"/>
      <c r="K624" s="475" t="s">
        <v>296</v>
      </c>
      <c r="L624" s="476"/>
      <c r="M624" s="477"/>
      <c r="N624" s="933">
        <f>VLOOKUP(I630,C637:O696,5)</f>
        <v>4147129.4123595492</v>
      </c>
      <c r="O624" s="4"/>
    </row>
    <row r="625" spans="1:15" ht="15.75">
      <c r="C625" s="416"/>
      <c r="D625" s="78"/>
      <c r="E625" s="4"/>
      <c r="F625" s="4"/>
      <c r="G625" s="4"/>
      <c r="H625" s="934"/>
      <c r="I625" s="934"/>
      <c r="J625" s="935"/>
      <c r="K625" s="480" t="s">
        <v>297</v>
      </c>
      <c r="L625" s="936"/>
      <c r="M625" s="4"/>
      <c r="N625" s="937">
        <f>VLOOKUP(I630,C637:O696,6)</f>
        <v>4147129.4123595492</v>
      </c>
      <c r="O625" s="4"/>
    </row>
    <row r="626" spans="1:15" ht="13.5" thickBot="1">
      <c r="C626" s="481" t="s">
        <v>293</v>
      </c>
      <c r="D626" s="1304" t="s">
        <v>935</v>
      </c>
      <c r="E626" s="1304"/>
      <c r="F626" s="1304"/>
      <c r="G626" s="1304"/>
      <c r="H626" s="1304"/>
      <c r="I626" s="930"/>
      <c r="J626" s="931"/>
      <c r="K626" s="938" t="s">
        <v>450</v>
      </c>
      <c r="L626" s="939"/>
      <c r="M626" s="939"/>
      <c r="N626" s="940">
        <f>+N625-N624</f>
        <v>0</v>
      </c>
      <c r="O626" s="4"/>
    </row>
    <row r="627" spans="1:15">
      <c r="C627" s="483"/>
      <c r="D627" s="484"/>
      <c r="E627" s="471"/>
      <c r="F627" s="471"/>
      <c r="G627" s="485"/>
      <c r="H627" s="930"/>
      <c r="I627" s="930"/>
      <c r="J627" s="931"/>
      <c r="K627" s="930"/>
      <c r="L627" s="930"/>
      <c r="M627" s="930"/>
      <c r="N627" s="930"/>
      <c r="O627" s="4"/>
    </row>
    <row r="628" spans="1:15" ht="13.5" thickBot="1">
      <c r="C628" s="483"/>
      <c r="D628" s="4"/>
      <c r="E628" s="485"/>
      <c r="F628" s="485"/>
      <c r="G628" s="485"/>
      <c r="H628" s="485"/>
      <c r="I628" s="485"/>
      <c r="J628" s="485"/>
      <c r="K628" s="485"/>
      <c r="L628" s="485"/>
      <c r="M628" s="485"/>
      <c r="N628" s="485"/>
      <c r="O628" s="4"/>
    </row>
    <row r="629" spans="1:15" ht="13.5" thickBot="1">
      <c r="C629" s="487" t="s">
        <v>294</v>
      </c>
      <c r="D629" s="488"/>
      <c r="E629" s="488"/>
      <c r="F629" s="488"/>
      <c r="G629" s="488"/>
      <c r="H629" s="488"/>
      <c r="I629" s="489"/>
      <c r="K629" s="4"/>
      <c r="L629" s="4"/>
      <c r="M629" s="4"/>
      <c r="N629" s="4"/>
      <c r="O629" s="4"/>
    </row>
    <row r="630" spans="1:15" ht="15">
      <c r="C630" s="490" t="s">
        <v>272</v>
      </c>
      <c r="D630" s="941">
        <v>31941425</v>
      </c>
      <c r="E630" s="4" t="s">
        <v>273</v>
      </c>
      <c r="G630" s="78"/>
      <c r="H630" s="78"/>
      <c r="I630" s="491">
        <v>2018</v>
      </c>
      <c r="J630" s="134"/>
      <c r="K630" s="1302" t="s">
        <v>459</v>
      </c>
      <c r="L630" s="1302"/>
      <c r="M630" s="1302"/>
      <c r="N630" s="1302"/>
      <c r="O630" s="1302"/>
    </row>
    <row r="631" spans="1:15">
      <c r="C631" s="490" t="s">
        <v>275</v>
      </c>
      <c r="D631" s="644">
        <v>2016</v>
      </c>
      <c r="E631" s="490" t="s">
        <v>276</v>
      </c>
      <c r="F631" s="78"/>
      <c r="H631"/>
      <c r="I631" s="647">
        <f>IF(G624="",0,$F$15)</f>
        <v>0</v>
      </c>
      <c r="J631" s="492"/>
      <c r="K631" s="931" t="s">
        <v>459</v>
      </c>
    </row>
    <row r="632" spans="1:15">
      <c r="C632" s="490" t="s">
        <v>277</v>
      </c>
      <c r="D632" s="942">
        <v>11</v>
      </c>
      <c r="E632" s="490" t="s">
        <v>278</v>
      </c>
      <c r="F632" s="78"/>
      <c r="H632"/>
      <c r="I632" s="493">
        <f>$G$70</f>
        <v>0.11017952320434825</v>
      </c>
      <c r="J632" s="80"/>
      <c r="K632" t="str">
        <f>"          INPUT PROJECTED ARR (WITH &amp; WITHOUT INCENTIVES) FROM EACH PRIOR YEAR"</f>
        <v xml:space="preserve">          INPUT PROJECTED ARR (WITH &amp; WITHOUT INCENTIVES) FROM EACH PRIOR YEAR</v>
      </c>
    </row>
    <row r="633" spans="1:15">
      <c r="C633" s="490" t="s">
        <v>279</v>
      </c>
      <c r="D633" s="494">
        <f>G$79</f>
        <v>42</v>
      </c>
      <c r="E633" s="490" t="s">
        <v>280</v>
      </c>
      <c r="F633" s="78"/>
      <c r="H633"/>
      <c r="I633" s="493">
        <f>IF(G624="",I632,$G$67)</f>
        <v>0.11017952320434825</v>
      </c>
      <c r="J633" s="80"/>
      <c r="K633" t="s">
        <v>357</v>
      </c>
    </row>
    <row r="634" spans="1:15" ht="13.5" thickBot="1">
      <c r="C634" s="490" t="s">
        <v>281</v>
      </c>
      <c r="D634" s="646" t="s">
        <v>929</v>
      </c>
      <c r="E634" s="495" t="s">
        <v>282</v>
      </c>
      <c r="F634" s="496"/>
      <c r="G634" s="497"/>
      <c r="H634" s="497"/>
      <c r="I634" s="940">
        <f>IF(D630=0,0,D630/D633)</f>
        <v>760510.11904761905</v>
      </c>
      <c r="J634" s="931"/>
      <c r="K634" s="931" t="s">
        <v>363</v>
      </c>
      <c r="L634" s="931"/>
      <c r="M634" s="931"/>
      <c r="N634" s="931"/>
      <c r="O634" s="4"/>
    </row>
    <row r="635" spans="1:15" ht="51">
      <c r="A635" s="12"/>
      <c r="B635" s="12"/>
      <c r="C635" s="498" t="s">
        <v>272</v>
      </c>
      <c r="D635" s="943" t="s">
        <v>283</v>
      </c>
      <c r="E635" s="944" t="s">
        <v>284</v>
      </c>
      <c r="F635" s="943" t="s">
        <v>285</v>
      </c>
      <c r="G635" s="944" t="s">
        <v>356</v>
      </c>
      <c r="H635" s="945" t="s">
        <v>356</v>
      </c>
      <c r="I635" s="498" t="s">
        <v>295</v>
      </c>
      <c r="J635" s="502"/>
      <c r="K635" s="944" t="s">
        <v>365</v>
      </c>
      <c r="L635" s="946"/>
      <c r="M635" s="944" t="s">
        <v>365</v>
      </c>
      <c r="N635" s="946"/>
      <c r="O635" s="946"/>
    </row>
    <row r="636" spans="1:15" ht="13.5" thickBot="1">
      <c r="C636" s="503" t="s">
        <v>177</v>
      </c>
      <c r="D636" s="504" t="s">
        <v>178</v>
      </c>
      <c r="E636" s="503" t="s">
        <v>37</v>
      </c>
      <c r="F636" s="504" t="s">
        <v>178</v>
      </c>
      <c r="G636" s="947" t="s">
        <v>298</v>
      </c>
      <c r="H636" s="948" t="s">
        <v>300</v>
      </c>
      <c r="I636" s="503" t="s">
        <v>389</v>
      </c>
      <c r="J636" s="507"/>
      <c r="K636" s="947" t="s">
        <v>287</v>
      </c>
      <c r="L636" s="976"/>
      <c r="M636" s="947" t="s">
        <v>300</v>
      </c>
      <c r="N636" s="949"/>
      <c r="O636" s="949"/>
    </row>
    <row r="637" spans="1:15">
      <c r="C637" s="508">
        <f>IF(D631= "","-",D631)</f>
        <v>2016</v>
      </c>
      <c r="D637" s="471">
        <f>+D630</f>
        <v>31941425</v>
      </c>
      <c r="E637" s="950">
        <f>+I634/12*(12-D632)</f>
        <v>63375.843253968254</v>
      </c>
      <c r="F637" s="471">
        <f t="shared" ref="F637:F696" si="36">+D637-E637</f>
        <v>31878049.156746034</v>
      </c>
      <c r="G637" s="951">
        <f>+$I$632*((D637+F637)/2)+E637</f>
        <v>3579175.4601252195</v>
      </c>
      <c r="H637" s="952">
        <f>+$I$633*((D637+F637)/2)+E637</f>
        <v>3579175.4601252195</v>
      </c>
      <c r="I637" s="512">
        <f t="shared" ref="I637:I696" si="37">+H637-G637</f>
        <v>0</v>
      </c>
      <c r="J637" s="967"/>
      <c r="K637" s="968">
        <v>13022465</v>
      </c>
      <c r="L637" s="971"/>
      <c r="M637" s="968">
        <v>13022465</v>
      </c>
      <c r="N637" s="970"/>
      <c r="O637" s="514"/>
    </row>
    <row r="638" spans="1:15">
      <c r="C638" s="508">
        <f>IF(D631="","-",+C637+1)</f>
        <v>2017</v>
      </c>
      <c r="D638" s="471">
        <f t="shared" ref="D638:D696" si="38">F637</f>
        <v>31878049.156746034</v>
      </c>
      <c r="E638" s="515">
        <f>IF(D638&gt;$I$634,$I$634,D638)</f>
        <v>760510.11904761905</v>
      </c>
      <c r="F638" s="471">
        <f t="shared" si="36"/>
        <v>31117539.037698414</v>
      </c>
      <c r="G638" s="950">
        <f t="shared" ref="G638:G696" si="39">+$I$632*((D638+F638)/2)+E638</f>
        <v>4230922.0546682989</v>
      </c>
      <c r="H638" s="953">
        <f t="shared" ref="H638:H696" si="40">+$I$633*((D638+F638)/2)+E638</f>
        <v>4230922.0546682989</v>
      </c>
      <c r="I638" s="512">
        <f t="shared" si="37"/>
        <v>0</v>
      </c>
      <c r="J638" s="512"/>
      <c r="K638" s="649">
        <v>3514741.613096768</v>
      </c>
      <c r="L638" s="518"/>
      <c r="M638" s="649">
        <v>3514741.613096768</v>
      </c>
      <c r="N638" s="518"/>
      <c r="O638" s="518"/>
    </row>
    <row r="639" spans="1:15">
      <c r="C639" s="954">
        <f>IF(D631="","-",+C638+1)</f>
        <v>2018</v>
      </c>
      <c r="D639" s="955">
        <f t="shared" si="38"/>
        <v>31117539.037698414</v>
      </c>
      <c r="E639" s="956">
        <f t="shared" ref="E639:E696" si="41">IF(D639&gt;$I$634,$I$634,D639)</f>
        <v>760510.11904761905</v>
      </c>
      <c r="F639" s="955">
        <f t="shared" si="36"/>
        <v>30357028.918650795</v>
      </c>
      <c r="G639" s="957">
        <f t="shared" si="39"/>
        <v>4147129.4123595492</v>
      </c>
      <c r="H639" s="958">
        <f t="shared" si="40"/>
        <v>4147129.4123595492</v>
      </c>
      <c r="I639" s="964">
        <f t="shared" si="37"/>
        <v>0</v>
      </c>
      <c r="J639" s="512"/>
      <c r="K639" s="975"/>
      <c r="L639" s="963"/>
      <c r="M639" s="975"/>
      <c r="N639" s="518"/>
      <c r="O639" s="518"/>
    </row>
    <row r="640" spans="1:15">
      <c r="C640" s="508">
        <f>IF(D631="","-",+C639+1)</f>
        <v>2019</v>
      </c>
      <c r="D640" s="471">
        <f t="shared" si="38"/>
        <v>30357028.918650795</v>
      </c>
      <c r="E640" s="515">
        <f t="shared" si="41"/>
        <v>760510.11904761905</v>
      </c>
      <c r="F640" s="471">
        <f t="shared" si="36"/>
        <v>29596518.799603175</v>
      </c>
      <c r="G640" s="950">
        <f t="shared" si="39"/>
        <v>4063336.7700508004</v>
      </c>
      <c r="H640" s="953">
        <f t="shared" si="40"/>
        <v>4063336.7700508004</v>
      </c>
      <c r="I640" s="512">
        <f t="shared" si="37"/>
        <v>0</v>
      </c>
      <c r="J640" s="512"/>
      <c r="K640" s="649"/>
      <c r="L640" s="518"/>
      <c r="M640" s="649"/>
      <c r="N640" s="518"/>
      <c r="O640" s="518"/>
    </row>
    <row r="641" spans="3:15">
      <c r="C641" s="508">
        <f>IF(D631="","-",+C640+1)</f>
        <v>2020</v>
      </c>
      <c r="D641" s="471">
        <f t="shared" si="38"/>
        <v>29596518.799603175</v>
      </c>
      <c r="E641" s="515">
        <f t="shared" si="41"/>
        <v>760510.11904761905</v>
      </c>
      <c r="F641" s="471">
        <f t="shared" si="36"/>
        <v>28836008.680555556</v>
      </c>
      <c r="G641" s="950">
        <f t="shared" si="39"/>
        <v>3979544.1277420516</v>
      </c>
      <c r="H641" s="953">
        <f t="shared" si="40"/>
        <v>3979544.1277420516</v>
      </c>
      <c r="I641" s="512">
        <f t="shared" si="37"/>
        <v>0</v>
      </c>
      <c r="J641" s="512"/>
      <c r="K641" s="649"/>
      <c r="L641" s="518"/>
      <c r="M641" s="649"/>
      <c r="N641" s="518"/>
      <c r="O641" s="518"/>
    </row>
    <row r="642" spans="3:15">
      <c r="C642" s="508">
        <f>IF(D631="","-",+C641+1)</f>
        <v>2021</v>
      </c>
      <c r="D642" s="471">
        <f t="shared" si="38"/>
        <v>28836008.680555556</v>
      </c>
      <c r="E642" s="515">
        <f t="shared" si="41"/>
        <v>760510.11904761905</v>
      </c>
      <c r="F642" s="471">
        <f t="shared" si="36"/>
        <v>28075498.561507937</v>
      </c>
      <c r="G642" s="950">
        <f t="shared" si="39"/>
        <v>3895751.4854333028</v>
      </c>
      <c r="H642" s="953">
        <f t="shared" si="40"/>
        <v>3895751.4854333028</v>
      </c>
      <c r="I642" s="512">
        <f t="shared" si="37"/>
        <v>0</v>
      </c>
      <c r="J642" s="512"/>
      <c r="K642" s="649"/>
      <c r="L642" s="518"/>
      <c r="M642" s="649"/>
      <c r="N642" s="518"/>
      <c r="O642" s="518"/>
    </row>
    <row r="643" spans="3:15">
      <c r="C643" s="508">
        <f>IF(D631="","-",+C642+1)</f>
        <v>2022</v>
      </c>
      <c r="D643" s="471">
        <f t="shared" si="38"/>
        <v>28075498.561507937</v>
      </c>
      <c r="E643" s="515">
        <f t="shared" si="41"/>
        <v>760510.11904761905</v>
      </c>
      <c r="F643" s="471">
        <f t="shared" si="36"/>
        <v>27314988.442460317</v>
      </c>
      <c r="G643" s="950">
        <f t="shared" si="39"/>
        <v>3811958.843124554</v>
      </c>
      <c r="H643" s="953">
        <f t="shared" si="40"/>
        <v>3811958.843124554</v>
      </c>
      <c r="I643" s="512">
        <f t="shared" si="37"/>
        <v>0</v>
      </c>
      <c r="J643" s="512"/>
      <c r="K643" s="649"/>
      <c r="L643" s="518"/>
      <c r="M643" s="649"/>
      <c r="N643" s="518"/>
      <c r="O643" s="518"/>
    </row>
    <row r="644" spans="3:15">
      <c r="C644" s="508">
        <f>IF(D631="","-",+C643+1)</f>
        <v>2023</v>
      </c>
      <c r="D644" s="471">
        <f t="shared" si="38"/>
        <v>27314988.442460317</v>
      </c>
      <c r="E644" s="515">
        <f t="shared" si="41"/>
        <v>760510.11904761905</v>
      </c>
      <c r="F644" s="471">
        <f t="shared" si="36"/>
        <v>26554478.323412698</v>
      </c>
      <c r="G644" s="950">
        <f t="shared" si="39"/>
        <v>3728166.2008158052</v>
      </c>
      <c r="H644" s="953">
        <f t="shared" si="40"/>
        <v>3728166.2008158052</v>
      </c>
      <c r="I644" s="512">
        <f t="shared" si="37"/>
        <v>0</v>
      </c>
      <c r="J644" s="512"/>
      <c r="K644" s="649"/>
      <c r="L644" s="518"/>
      <c r="M644" s="649"/>
      <c r="N644" s="518"/>
      <c r="O644" s="518"/>
    </row>
    <row r="645" spans="3:15">
      <c r="C645" s="508">
        <f>IF(D631="","-",+C644+1)</f>
        <v>2024</v>
      </c>
      <c r="D645" s="471">
        <f t="shared" si="38"/>
        <v>26554478.323412698</v>
      </c>
      <c r="E645" s="515">
        <f t="shared" si="41"/>
        <v>760510.11904761905</v>
      </c>
      <c r="F645" s="471">
        <f t="shared" si="36"/>
        <v>25793968.204365078</v>
      </c>
      <c r="G645" s="950">
        <f t="shared" si="39"/>
        <v>3644373.5585070564</v>
      </c>
      <c r="H645" s="953">
        <f t="shared" si="40"/>
        <v>3644373.5585070564</v>
      </c>
      <c r="I645" s="512">
        <f t="shared" si="37"/>
        <v>0</v>
      </c>
      <c r="J645" s="512"/>
      <c r="K645" s="649"/>
      <c r="L645" s="518"/>
      <c r="M645" s="649"/>
      <c r="N645" s="518"/>
      <c r="O645" s="518"/>
    </row>
    <row r="646" spans="3:15">
      <c r="C646" s="508">
        <f>IF(D631="","-",+C645+1)</f>
        <v>2025</v>
      </c>
      <c r="D646" s="471">
        <f t="shared" si="38"/>
        <v>25793968.204365078</v>
      </c>
      <c r="E646" s="515">
        <f t="shared" si="41"/>
        <v>760510.11904761905</v>
      </c>
      <c r="F646" s="471">
        <f t="shared" si="36"/>
        <v>25033458.085317459</v>
      </c>
      <c r="G646" s="950">
        <f t="shared" si="39"/>
        <v>3560580.9161983076</v>
      </c>
      <c r="H646" s="953">
        <f t="shared" si="40"/>
        <v>3560580.9161983076</v>
      </c>
      <c r="I646" s="512">
        <f t="shared" si="37"/>
        <v>0</v>
      </c>
      <c r="J646" s="512"/>
      <c r="K646" s="649"/>
      <c r="L646" s="518"/>
      <c r="M646" s="649"/>
      <c r="N646" s="518"/>
      <c r="O646" s="518"/>
    </row>
    <row r="647" spans="3:15">
      <c r="C647" s="508">
        <f>IF(D631="","-",+C646+1)</f>
        <v>2026</v>
      </c>
      <c r="D647" s="471">
        <f t="shared" si="38"/>
        <v>25033458.085317459</v>
      </c>
      <c r="E647" s="515">
        <f t="shared" si="41"/>
        <v>760510.11904761905</v>
      </c>
      <c r="F647" s="471">
        <f t="shared" si="36"/>
        <v>24272947.96626984</v>
      </c>
      <c r="G647" s="950">
        <f t="shared" si="39"/>
        <v>3476788.2738895589</v>
      </c>
      <c r="H647" s="953">
        <f t="shared" si="40"/>
        <v>3476788.2738895589</v>
      </c>
      <c r="I647" s="512">
        <f t="shared" si="37"/>
        <v>0</v>
      </c>
      <c r="J647" s="512"/>
      <c r="K647" s="649"/>
      <c r="L647" s="518"/>
      <c r="M647" s="649"/>
      <c r="N647" s="518"/>
      <c r="O647" s="518"/>
    </row>
    <row r="648" spans="3:15">
      <c r="C648" s="508">
        <f>IF(D631="","-",+C647+1)</f>
        <v>2027</v>
      </c>
      <c r="D648" s="471">
        <f t="shared" si="38"/>
        <v>24272947.96626984</v>
      </c>
      <c r="E648" s="515">
        <f t="shared" si="41"/>
        <v>760510.11904761905</v>
      </c>
      <c r="F648" s="471">
        <f t="shared" si="36"/>
        <v>23512437.84722222</v>
      </c>
      <c r="G648" s="950">
        <f t="shared" si="39"/>
        <v>3392995.6315808101</v>
      </c>
      <c r="H648" s="953">
        <f t="shared" si="40"/>
        <v>3392995.6315808101</v>
      </c>
      <c r="I648" s="512">
        <f t="shared" si="37"/>
        <v>0</v>
      </c>
      <c r="J648" s="512"/>
      <c r="K648" s="649"/>
      <c r="L648" s="518"/>
      <c r="M648" s="649"/>
      <c r="N648" s="518"/>
      <c r="O648" s="518"/>
    </row>
    <row r="649" spans="3:15">
      <c r="C649" s="508">
        <f>IF(D631="","-",+C648+1)</f>
        <v>2028</v>
      </c>
      <c r="D649" s="471">
        <f t="shared" si="38"/>
        <v>23512437.84722222</v>
      </c>
      <c r="E649" s="515">
        <f t="shared" si="41"/>
        <v>760510.11904761905</v>
      </c>
      <c r="F649" s="471">
        <f t="shared" si="36"/>
        <v>22751927.728174601</v>
      </c>
      <c r="G649" s="950">
        <f t="shared" si="39"/>
        <v>3309202.9892720613</v>
      </c>
      <c r="H649" s="953">
        <f t="shared" si="40"/>
        <v>3309202.9892720613</v>
      </c>
      <c r="I649" s="512">
        <f t="shared" si="37"/>
        <v>0</v>
      </c>
      <c r="J649" s="512"/>
      <c r="K649" s="649"/>
      <c r="L649" s="518"/>
      <c r="M649" s="649"/>
      <c r="N649" s="519"/>
      <c r="O649" s="518"/>
    </row>
    <row r="650" spans="3:15">
      <c r="C650" s="508">
        <f>IF(D631="","-",+C649+1)</f>
        <v>2029</v>
      </c>
      <c r="D650" s="471">
        <f t="shared" si="38"/>
        <v>22751927.728174601</v>
      </c>
      <c r="E650" s="515">
        <f t="shared" si="41"/>
        <v>760510.11904761905</v>
      </c>
      <c r="F650" s="471">
        <f t="shared" si="36"/>
        <v>21991417.609126981</v>
      </c>
      <c r="G650" s="950">
        <f t="shared" si="39"/>
        <v>3225410.3469633125</v>
      </c>
      <c r="H650" s="953">
        <f t="shared" si="40"/>
        <v>3225410.3469633125</v>
      </c>
      <c r="I650" s="512">
        <f t="shared" si="37"/>
        <v>0</v>
      </c>
      <c r="J650" s="512"/>
      <c r="K650" s="649"/>
      <c r="L650" s="518"/>
      <c r="M650" s="649"/>
      <c r="N650" s="518"/>
      <c r="O650" s="518"/>
    </row>
    <row r="651" spans="3:15">
      <c r="C651" s="508">
        <f>IF(D631="","-",+C650+1)</f>
        <v>2030</v>
      </c>
      <c r="D651" s="471">
        <f t="shared" si="38"/>
        <v>21991417.609126981</v>
      </c>
      <c r="E651" s="515">
        <f t="shared" si="41"/>
        <v>760510.11904761905</v>
      </c>
      <c r="F651" s="471">
        <f t="shared" si="36"/>
        <v>21230907.490079362</v>
      </c>
      <c r="G651" s="950">
        <f t="shared" si="39"/>
        <v>3141617.7046545632</v>
      </c>
      <c r="H651" s="953">
        <f t="shared" si="40"/>
        <v>3141617.7046545632</v>
      </c>
      <c r="I651" s="512">
        <f t="shared" si="37"/>
        <v>0</v>
      </c>
      <c r="J651" s="512"/>
      <c r="K651" s="649"/>
      <c r="L651" s="518"/>
      <c r="M651" s="649"/>
      <c r="N651" s="518"/>
      <c r="O651" s="518"/>
    </row>
    <row r="652" spans="3:15">
      <c r="C652" s="508">
        <f>IF(D631="","-",+C651+1)</f>
        <v>2031</v>
      </c>
      <c r="D652" s="471">
        <f t="shared" si="38"/>
        <v>21230907.490079362</v>
      </c>
      <c r="E652" s="515">
        <f t="shared" si="41"/>
        <v>760510.11904761905</v>
      </c>
      <c r="F652" s="471">
        <f t="shared" si="36"/>
        <v>20470397.371031743</v>
      </c>
      <c r="G652" s="950">
        <f t="shared" si="39"/>
        <v>3057825.0623458144</v>
      </c>
      <c r="H652" s="953">
        <f t="shared" si="40"/>
        <v>3057825.0623458144</v>
      </c>
      <c r="I652" s="512">
        <f t="shared" si="37"/>
        <v>0</v>
      </c>
      <c r="J652" s="512"/>
      <c r="K652" s="649"/>
      <c r="L652" s="518"/>
      <c r="M652" s="649"/>
      <c r="N652" s="518"/>
      <c r="O652" s="518"/>
    </row>
    <row r="653" spans="3:15">
      <c r="C653" s="508">
        <f>IF(D631="","-",+C652+1)</f>
        <v>2032</v>
      </c>
      <c r="D653" s="471">
        <f t="shared" si="38"/>
        <v>20470397.371031743</v>
      </c>
      <c r="E653" s="515">
        <f t="shared" si="41"/>
        <v>760510.11904761905</v>
      </c>
      <c r="F653" s="471">
        <f t="shared" si="36"/>
        <v>19709887.251984123</v>
      </c>
      <c r="G653" s="950">
        <f t="shared" si="39"/>
        <v>2974032.4200370656</v>
      </c>
      <c r="H653" s="953">
        <f t="shared" si="40"/>
        <v>2974032.4200370656</v>
      </c>
      <c r="I653" s="512">
        <f t="shared" si="37"/>
        <v>0</v>
      </c>
      <c r="J653" s="512"/>
      <c r="K653" s="649"/>
      <c r="L653" s="518"/>
      <c r="M653" s="649"/>
      <c r="N653" s="518"/>
      <c r="O653" s="518"/>
    </row>
    <row r="654" spans="3:15">
      <c r="C654" s="508">
        <f>IF(D631="","-",+C653+1)</f>
        <v>2033</v>
      </c>
      <c r="D654" s="471">
        <f t="shared" si="38"/>
        <v>19709887.251984123</v>
      </c>
      <c r="E654" s="515">
        <f t="shared" si="41"/>
        <v>760510.11904761905</v>
      </c>
      <c r="F654" s="471">
        <f t="shared" si="36"/>
        <v>18949377.132936504</v>
      </c>
      <c r="G654" s="950">
        <f t="shared" si="39"/>
        <v>2890239.7777283168</v>
      </c>
      <c r="H654" s="953">
        <f t="shared" si="40"/>
        <v>2890239.7777283168</v>
      </c>
      <c r="I654" s="512">
        <f t="shared" si="37"/>
        <v>0</v>
      </c>
      <c r="J654" s="512"/>
      <c r="K654" s="649"/>
      <c r="L654" s="518"/>
      <c r="M654" s="649"/>
      <c r="N654" s="518"/>
      <c r="O654" s="518"/>
    </row>
    <row r="655" spans="3:15">
      <c r="C655" s="508">
        <f>IF(D631="","-",+C654+1)</f>
        <v>2034</v>
      </c>
      <c r="D655" s="471">
        <f t="shared" si="38"/>
        <v>18949377.132936504</v>
      </c>
      <c r="E655" s="515">
        <f t="shared" si="41"/>
        <v>760510.11904761905</v>
      </c>
      <c r="F655" s="471">
        <f t="shared" si="36"/>
        <v>18188867.013888884</v>
      </c>
      <c r="G655" s="950">
        <f t="shared" si="39"/>
        <v>2806447.135419568</v>
      </c>
      <c r="H655" s="953">
        <f t="shared" si="40"/>
        <v>2806447.135419568</v>
      </c>
      <c r="I655" s="512">
        <f t="shared" si="37"/>
        <v>0</v>
      </c>
      <c r="J655" s="512"/>
      <c r="K655" s="649"/>
      <c r="L655" s="518"/>
      <c r="M655" s="649"/>
      <c r="N655" s="518"/>
      <c r="O655" s="518"/>
    </row>
    <row r="656" spans="3:15">
      <c r="C656" s="508">
        <f>IF(D631="","-",+C655+1)</f>
        <v>2035</v>
      </c>
      <c r="D656" s="471">
        <f t="shared" si="38"/>
        <v>18188867.013888884</v>
      </c>
      <c r="E656" s="515">
        <f t="shared" si="41"/>
        <v>760510.11904761905</v>
      </c>
      <c r="F656" s="471">
        <f t="shared" si="36"/>
        <v>17428356.894841265</v>
      </c>
      <c r="G656" s="950">
        <f t="shared" si="39"/>
        <v>2722654.4931108193</v>
      </c>
      <c r="H656" s="953">
        <f t="shared" si="40"/>
        <v>2722654.4931108193</v>
      </c>
      <c r="I656" s="512">
        <f t="shared" si="37"/>
        <v>0</v>
      </c>
      <c r="J656" s="512"/>
      <c r="K656" s="649"/>
      <c r="L656" s="518"/>
      <c r="M656" s="649"/>
      <c r="N656" s="518"/>
      <c r="O656" s="518"/>
    </row>
    <row r="657" spans="3:15">
      <c r="C657" s="508">
        <f>IF(D631="","-",+C656+1)</f>
        <v>2036</v>
      </c>
      <c r="D657" s="471">
        <f t="shared" si="38"/>
        <v>17428356.894841265</v>
      </c>
      <c r="E657" s="515">
        <f t="shared" si="41"/>
        <v>760510.11904761905</v>
      </c>
      <c r="F657" s="471">
        <f t="shared" si="36"/>
        <v>16667846.775793646</v>
      </c>
      <c r="G657" s="950">
        <f t="shared" si="39"/>
        <v>2638861.8508020705</v>
      </c>
      <c r="H657" s="953">
        <f t="shared" si="40"/>
        <v>2638861.8508020705</v>
      </c>
      <c r="I657" s="512">
        <f t="shared" si="37"/>
        <v>0</v>
      </c>
      <c r="J657" s="512"/>
      <c r="K657" s="649"/>
      <c r="L657" s="518"/>
      <c r="M657" s="649"/>
      <c r="N657" s="518"/>
      <c r="O657" s="518"/>
    </row>
    <row r="658" spans="3:15">
      <c r="C658" s="508">
        <f>IF(D631="","-",+C657+1)</f>
        <v>2037</v>
      </c>
      <c r="D658" s="471">
        <f t="shared" si="38"/>
        <v>16667846.775793646</v>
      </c>
      <c r="E658" s="515">
        <f t="shared" si="41"/>
        <v>760510.11904761905</v>
      </c>
      <c r="F658" s="471">
        <f t="shared" si="36"/>
        <v>15907336.656746026</v>
      </c>
      <c r="G658" s="950">
        <f t="shared" si="39"/>
        <v>2555069.2084933217</v>
      </c>
      <c r="H658" s="953">
        <f t="shared" si="40"/>
        <v>2555069.2084933217</v>
      </c>
      <c r="I658" s="512">
        <f t="shared" si="37"/>
        <v>0</v>
      </c>
      <c r="J658" s="512"/>
      <c r="K658" s="649"/>
      <c r="L658" s="518"/>
      <c r="M658" s="649"/>
      <c r="N658" s="518"/>
      <c r="O658" s="518"/>
    </row>
    <row r="659" spans="3:15">
      <c r="C659" s="508">
        <f>IF(D631="","-",+C658+1)</f>
        <v>2038</v>
      </c>
      <c r="D659" s="471">
        <f t="shared" si="38"/>
        <v>15907336.656746026</v>
      </c>
      <c r="E659" s="515">
        <f t="shared" si="41"/>
        <v>760510.11904761905</v>
      </c>
      <c r="F659" s="471">
        <f t="shared" si="36"/>
        <v>15146826.537698407</v>
      </c>
      <c r="G659" s="950">
        <f t="shared" si="39"/>
        <v>2471276.5661845729</v>
      </c>
      <c r="H659" s="953">
        <f t="shared" si="40"/>
        <v>2471276.5661845729</v>
      </c>
      <c r="I659" s="512">
        <f t="shared" si="37"/>
        <v>0</v>
      </c>
      <c r="J659" s="512"/>
      <c r="K659" s="649"/>
      <c r="L659" s="518"/>
      <c r="M659" s="649"/>
      <c r="N659" s="518"/>
      <c r="O659" s="518"/>
    </row>
    <row r="660" spans="3:15">
      <c r="C660" s="508">
        <f>IF(D631="","-",+C659+1)</f>
        <v>2039</v>
      </c>
      <c r="D660" s="471">
        <f t="shared" si="38"/>
        <v>15146826.537698407</v>
      </c>
      <c r="E660" s="515">
        <f t="shared" si="41"/>
        <v>760510.11904761905</v>
      </c>
      <c r="F660" s="471">
        <f t="shared" si="36"/>
        <v>14386316.418650787</v>
      </c>
      <c r="G660" s="950">
        <f t="shared" si="39"/>
        <v>2387483.9238758241</v>
      </c>
      <c r="H660" s="953">
        <f t="shared" si="40"/>
        <v>2387483.9238758241</v>
      </c>
      <c r="I660" s="512">
        <f t="shared" si="37"/>
        <v>0</v>
      </c>
      <c r="J660" s="512"/>
      <c r="K660" s="649"/>
      <c r="L660" s="518"/>
      <c r="M660" s="649"/>
      <c r="N660" s="518"/>
      <c r="O660" s="518"/>
    </row>
    <row r="661" spans="3:15">
      <c r="C661" s="508">
        <f>IF(D631="","-",+C660+1)</f>
        <v>2040</v>
      </c>
      <c r="D661" s="471">
        <f t="shared" si="38"/>
        <v>14386316.418650787</v>
      </c>
      <c r="E661" s="515">
        <f t="shared" si="41"/>
        <v>760510.11904761905</v>
      </c>
      <c r="F661" s="471">
        <f t="shared" si="36"/>
        <v>13625806.299603168</v>
      </c>
      <c r="G661" s="950">
        <f t="shared" si="39"/>
        <v>2303691.2815670753</v>
      </c>
      <c r="H661" s="953">
        <f t="shared" si="40"/>
        <v>2303691.2815670753</v>
      </c>
      <c r="I661" s="512">
        <f t="shared" si="37"/>
        <v>0</v>
      </c>
      <c r="J661" s="512"/>
      <c r="K661" s="649"/>
      <c r="L661" s="518"/>
      <c r="M661" s="649"/>
      <c r="N661" s="518"/>
      <c r="O661" s="518"/>
    </row>
    <row r="662" spans="3:15">
      <c r="C662" s="508">
        <f>IF(D631="","-",+C661+1)</f>
        <v>2041</v>
      </c>
      <c r="D662" s="471">
        <f t="shared" si="38"/>
        <v>13625806.299603168</v>
      </c>
      <c r="E662" s="515">
        <f t="shared" si="41"/>
        <v>760510.11904761905</v>
      </c>
      <c r="F662" s="471">
        <f t="shared" si="36"/>
        <v>12865296.180555549</v>
      </c>
      <c r="G662" s="950">
        <f t="shared" si="39"/>
        <v>2219898.6392583265</v>
      </c>
      <c r="H662" s="953">
        <f t="shared" si="40"/>
        <v>2219898.6392583265</v>
      </c>
      <c r="I662" s="512">
        <f t="shared" si="37"/>
        <v>0</v>
      </c>
      <c r="J662" s="512"/>
      <c r="K662" s="649"/>
      <c r="L662" s="518"/>
      <c r="M662" s="649"/>
      <c r="N662" s="518"/>
      <c r="O662" s="518"/>
    </row>
    <row r="663" spans="3:15">
      <c r="C663" s="508">
        <f>IF(D631="","-",+C662+1)</f>
        <v>2042</v>
      </c>
      <c r="D663" s="471">
        <f t="shared" si="38"/>
        <v>12865296.180555549</v>
      </c>
      <c r="E663" s="515">
        <f t="shared" si="41"/>
        <v>760510.11904761905</v>
      </c>
      <c r="F663" s="471">
        <f t="shared" si="36"/>
        <v>12104786.061507929</v>
      </c>
      <c r="G663" s="950">
        <f t="shared" si="39"/>
        <v>2136105.9969495777</v>
      </c>
      <c r="H663" s="953">
        <f t="shared" si="40"/>
        <v>2136105.9969495777</v>
      </c>
      <c r="I663" s="512">
        <f t="shared" si="37"/>
        <v>0</v>
      </c>
      <c r="J663" s="512"/>
      <c r="K663" s="649"/>
      <c r="L663" s="518"/>
      <c r="M663" s="649"/>
      <c r="N663" s="518"/>
      <c r="O663" s="518"/>
    </row>
    <row r="664" spans="3:15">
      <c r="C664" s="508">
        <f>IF(D631="","-",+C663+1)</f>
        <v>2043</v>
      </c>
      <c r="D664" s="471">
        <f t="shared" si="38"/>
        <v>12104786.061507929</v>
      </c>
      <c r="E664" s="515">
        <f t="shared" si="41"/>
        <v>760510.11904761905</v>
      </c>
      <c r="F664" s="471">
        <f t="shared" si="36"/>
        <v>11344275.94246031</v>
      </c>
      <c r="G664" s="950">
        <f t="shared" si="39"/>
        <v>2052313.3546408289</v>
      </c>
      <c r="H664" s="953">
        <f t="shared" si="40"/>
        <v>2052313.3546408289</v>
      </c>
      <c r="I664" s="512">
        <f t="shared" si="37"/>
        <v>0</v>
      </c>
      <c r="J664" s="512"/>
      <c r="K664" s="649"/>
      <c r="L664" s="518"/>
      <c r="M664" s="649"/>
      <c r="N664" s="518"/>
      <c r="O664" s="518"/>
    </row>
    <row r="665" spans="3:15">
      <c r="C665" s="508">
        <f>IF(D631="","-",+C664+1)</f>
        <v>2044</v>
      </c>
      <c r="D665" s="471">
        <f t="shared" si="38"/>
        <v>11344275.94246031</v>
      </c>
      <c r="E665" s="515">
        <f t="shared" si="41"/>
        <v>760510.11904761905</v>
      </c>
      <c r="F665" s="471">
        <f t="shared" si="36"/>
        <v>10583765.82341269</v>
      </c>
      <c r="G665" s="959">
        <f t="shared" si="39"/>
        <v>1968520.7123320801</v>
      </c>
      <c r="H665" s="953">
        <f t="shared" si="40"/>
        <v>1968520.7123320801</v>
      </c>
      <c r="I665" s="512">
        <f t="shared" si="37"/>
        <v>0</v>
      </c>
      <c r="J665" s="512"/>
      <c r="K665" s="649"/>
      <c r="L665" s="518"/>
      <c r="M665" s="649"/>
      <c r="N665" s="518"/>
      <c r="O665" s="518"/>
    </row>
    <row r="666" spans="3:15">
      <c r="C666" s="508">
        <f>IF(D631="","-",+C665+1)</f>
        <v>2045</v>
      </c>
      <c r="D666" s="471">
        <f t="shared" si="38"/>
        <v>10583765.82341269</v>
      </c>
      <c r="E666" s="515">
        <f t="shared" si="41"/>
        <v>760510.11904761905</v>
      </c>
      <c r="F666" s="471">
        <f t="shared" si="36"/>
        <v>9823255.7043650709</v>
      </c>
      <c r="G666" s="950">
        <f t="shared" si="39"/>
        <v>1884728.0700233313</v>
      </c>
      <c r="H666" s="953">
        <f t="shared" si="40"/>
        <v>1884728.0700233313</v>
      </c>
      <c r="I666" s="512">
        <f t="shared" si="37"/>
        <v>0</v>
      </c>
      <c r="J666" s="512"/>
      <c r="K666" s="649"/>
      <c r="L666" s="518"/>
      <c r="M666" s="649"/>
      <c r="N666" s="518"/>
      <c r="O666" s="518"/>
    </row>
    <row r="667" spans="3:15">
      <c r="C667" s="508">
        <f>IF(D631="","-",+C666+1)</f>
        <v>2046</v>
      </c>
      <c r="D667" s="471">
        <f t="shared" si="38"/>
        <v>9823255.7043650709</v>
      </c>
      <c r="E667" s="515">
        <f t="shared" si="41"/>
        <v>760510.11904761905</v>
      </c>
      <c r="F667" s="471">
        <f t="shared" si="36"/>
        <v>9062745.5853174515</v>
      </c>
      <c r="G667" s="950">
        <f t="shared" si="39"/>
        <v>1800935.4277145823</v>
      </c>
      <c r="H667" s="953">
        <f t="shared" si="40"/>
        <v>1800935.4277145823</v>
      </c>
      <c r="I667" s="512">
        <f t="shared" si="37"/>
        <v>0</v>
      </c>
      <c r="J667" s="512"/>
      <c r="K667" s="649"/>
      <c r="L667" s="518"/>
      <c r="M667" s="649"/>
      <c r="N667" s="518"/>
      <c r="O667" s="518"/>
    </row>
    <row r="668" spans="3:15">
      <c r="C668" s="508">
        <f>IF(D631="","-",+C667+1)</f>
        <v>2047</v>
      </c>
      <c r="D668" s="471">
        <f t="shared" si="38"/>
        <v>9062745.5853174515</v>
      </c>
      <c r="E668" s="515">
        <f t="shared" si="41"/>
        <v>760510.11904761905</v>
      </c>
      <c r="F668" s="471">
        <f t="shared" si="36"/>
        <v>8302235.4662698321</v>
      </c>
      <c r="G668" s="950">
        <f t="shared" si="39"/>
        <v>1717142.7854058333</v>
      </c>
      <c r="H668" s="953">
        <f t="shared" si="40"/>
        <v>1717142.7854058333</v>
      </c>
      <c r="I668" s="512">
        <f t="shared" si="37"/>
        <v>0</v>
      </c>
      <c r="J668" s="512"/>
      <c r="K668" s="649"/>
      <c r="L668" s="518"/>
      <c r="M668" s="649"/>
      <c r="N668" s="518"/>
      <c r="O668" s="518"/>
    </row>
    <row r="669" spans="3:15">
      <c r="C669" s="508">
        <f>IF(D631="","-",+C668+1)</f>
        <v>2048</v>
      </c>
      <c r="D669" s="471">
        <f t="shared" si="38"/>
        <v>8302235.4662698321</v>
      </c>
      <c r="E669" s="515">
        <f t="shared" si="41"/>
        <v>760510.11904761905</v>
      </c>
      <c r="F669" s="471">
        <f t="shared" si="36"/>
        <v>7541725.3472222127</v>
      </c>
      <c r="G669" s="950">
        <f t="shared" si="39"/>
        <v>1633350.1430970845</v>
      </c>
      <c r="H669" s="953">
        <f t="shared" si="40"/>
        <v>1633350.1430970845</v>
      </c>
      <c r="I669" s="512">
        <f t="shared" si="37"/>
        <v>0</v>
      </c>
      <c r="J669" s="512"/>
      <c r="K669" s="649"/>
      <c r="L669" s="518"/>
      <c r="M669" s="649"/>
      <c r="N669" s="518"/>
      <c r="O669" s="518"/>
    </row>
    <row r="670" spans="3:15">
      <c r="C670" s="508">
        <f>IF(D631="","-",+C669+1)</f>
        <v>2049</v>
      </c>
      <c r="D670" s="471">
        <f t="shared" si="38"/>
        <v>7541725.3472222127</v>
      </c>
      <c r="E670" s="515">
        <f t="shared" si="41"/>
        <v>760510.11904761905</v>
      </c>
      <c r="F670" s="471">
        <f t="shared" si="36"/>
        <v>6781215.2281745933</v>
      </c>
      <c r="G670" s="950">
        <f t="shared" si="39"/>
        <v>1549557.5007883357</v>
      </c>
      <c r="H670" s="953">
        <f t="shared" si="40"/>
        <v>1549557.5007883357</v>
      </c>
      <c r="I670" s="512">
        <f t="shared" si="37"/>
        <v>0</v>
      </c>
      <c r="J670" s="512"/>
      <c r="K670" s="649"/>
      <c r="L670" s="518"/>
      <c r="M670" s="649"/>
      <c r="N670" s="518"/>
      <c r="O670" s="518"/>
    </row>
    <row r="671" spans="3:15">
      <c r="C671" s="508">
        <f>IF(D631="","-",+C670+1)</f>
        <v>2050</v>
      </c>
      <c r="D671" s="471">
        <f t="shared" si="38"/>
        <v>6781215.2281745933</v>
      </c>
      <c r="E671" s="515">
        <f t="shared" si="41"/>
        <v>760510.11904761905</v>
      </c>
      <c r="F671" s="471">
        <f t="shared" si="36"/>
        <v>6020705.1091269739</v>
      </c>
      <c r="G671" s="950">
        <f t="shared" si="39"/>
        <v>1465764.8584795869</v>
      </c>
      <c r="H671" s="953">
        <f t="shared" si="40"/>
        <v>1465764.8584795869</v>
      </c>
      <c r="I671" s="512">
        <f t="shared" si="37"/>
        <v>0</v>
      </c>
      <c r="J671" s="512"/>
      <c r="K671" s="649"/>
      <c r="L671" s="518"/>
      <c r="M671" s="649"/>
      <c r="N671" s="518"/>
      <c r="O671" s="518"/>
    </row>
    <row r="672" spans="3:15">
      <c r="C672" s="508">
        <f>IF(D631="","-",+C671+1)</f>
        <v>2051</v>
      </c>
      <c r="D672" s="471">
        <f t="shared" si="38"/>
        <v>6020705.1091269739</v>
      </c>
      <c r="E672" s="515">
        <f t="shared" si="41"/>
        <v>760510.11904761905</v>
      </c>
      <c r="F672" s="471">
        <f t="shared" si="36"/>
        <v>5260194.9900793545</v>
      </c>
      <c r="G672" s="950">
        <f t="shared" si="39"/>
        <v>1381972.2161708381</v>
      </c>
      <c r="H672" s="953">
        <f t="shared" si="40"/>
        <v>1381972.2161708381</v>
      </c>
      <c r="I672" s="512">
        <f t="shared" si="37"/>
        <v>0</v>
      </c>
      <c r="J672" s="512"/>
      <c r="K672" s="649"/>
      <c r="L672" s="518"/>
      <c r="M672" s="649"/>
      <c r="N672" s="518"/>
      <c r="O672" s="518"/>
    </row>
    <row r="673" spans="3:15">
      <c r="C673" s="508">
        <f>IF(D631="","-",+C672+1)</f>
        <v>2052</v>
      </c>
      <c r="D673" s="471">
        <f t="shared" si="38"/>
        <v>5260194.9900793545</v>
      </c>
      <c r="E673" s="515">
        <f t="shared" si="41"/>
        <v>760510.11904761905</v>
      </c>
      <c r="F673" s="471">
        <f t="shared" si="36"/>
        <v>4499684.8710317351</v>
      </c>
      <c r="G673" s="950">
        <f t="shared" si="39"/>
        <v>1298179.5738620893</v>
      </c>
      <c r="H673" s="953">
        <f t="shared" si="40"/>
        <v>1298179.5738620893</v>
      </c>
      <c r="I673" s="512">
        <f t="shared" si="37"/>
        <v>0</v>
      </c>
      <c r="J673" s="512"/>
      <c r="K673" s="649"/>
      <c r="L673" s="518"/>
      <c r="M673" s="649"/>
      <c r="N673" s="518"/>
      <c r="O673" s="518"/>
    </row>
    <row r="674" spans="3:15">
      <c r="C674" s="508">
        <f>IF(D631="","-",+C673+1)</f>
        <v>2053</v>
      </c>
      <c r="D674" s="471">
        <f t="shared" si="38"/>
        <v>4499684.8710317351</v>
      </c>
      <c r="E674" s="515">
        <f t="shared" si="41"/>
        <v>760510.11904761905</v>
      </c>
      <c r="F674" s="471">
        <f t="shared" si="36"/>
        <v>3739174.7519841162</v>
      </c>
      <c r="G674" s="950">
        <f t="shared" si="39"/>
        <v>1214386.9315533405</v>
      </c>
      <c r="H674" s="953">
        <f t="shared" si="40"/>
        <v>1214386.9315533405</v>
      </c>
      <c r="I674" s="512">
        <f t="shared" si="37"/>
        <v>0</v>
      </c>
      <c r="J674" s="512"/>
      <c r="K674" s="649"/>
      <c r="L674" s="518"/>
      <c r="M674" s="649"/>
      <c r="N674" s="518"/>
      <c r="O674" s="518"/>
    </row>
    <row r="675" spans="3:15">
      <c r="C675" s="508">
        <f>IF(D631="","-",+C674+1)</f>
        <v>2054</v>
      </c>
      <c r="D675" s="471">
        <f t="shared" si="38"/>
        <v>3739174.7519841162</v>
      </c>
      <c r="E675" s="515">
        <f t="shared" si="41"/>
        <v>760510.11904761905</v>
      </c>
      <c r="F675" s="471">
        <f t="shared" si="36"/>
        <v>2978664.6329364972</v>
      </c>
      <c r="G675" s="950">
        <f t="shared" si="39"/>
        <v>1130594.2892445917</v>
      </c>
      <c r="H675" s="953">
        <f t="shared" si="40"/>
        <v>1130594.2892445917</v>
      </c>
      <c r="I675" s="512">
        <f t="shared" si="37"/>
        <v>0</v>
      </c>
      <c r="J675" s="512"/>
      <c r="K675" s="649"/>
      <c r="L675" s="518"/>
      <c r="M675" s="649"/>
      <c r="N675" s="518"/>
      <c r="O675" s="518"/>
    </row>
    <row r="676" spans="3:15">
      <c r="C676" s="508">
        <f>IF(D631="","-",+C675+1)</f>
        <v>2055</v>
      </c>
      <c r="D676" s="471">
        <f t="shared" si="38"/>
        <v>2978664.6329364972</v>
      </c>
      <c r="E676" s="515">
        <f t="shared" si="41"/>
        <v>760510.11904761905</v>
      </c>
      <c r="F676" s="471">
        <f t="shared" si="36"/>
        <v>2218154.5138888783</v>
      </c>
      <c r="G676" s="950">
        <f t="shared" si="39"/>
        <v>1046801.6469358429</v>
      </c>
      <c r="H676" s="953">
        <f t="shared" si="40"/>
        <v>1046801.6469358429</v>
      </c>
      <c r="I676" s="512">
        <f t="shared" si="37"/>
        <v>0</v>
      </c>
      <c r="J676" s="512"/>
      <c r="K676" s="649"/>
      <c r="L676" s="518"/>
      <c r="M676" s="649"/>
      <c r="N676" s="518"/>
      <c r="O676" s="518"/>
    </row>
    <row r="677" spans="3:15">
      <c r="C677" s="508">
        <f>IF(D631="","-",+C676+1)</f>
        <v>2056</v>
      </c>
      <c r="D677" s="471">
        <f t="shared" si="38"/>
        <v>2218154.5138888783</v>
      </c>
      <c r="E677" s="515">
        <f t="shared" si="41"/>
        <v>760510.11904761905</v>
      </c>
      <c r="F677" s="471">
        <f t="shared" si="36"/>
        <v>1457644.3948412593</v>
      </c>
      <c r="G677" s="950">
        <f t="shared" si="39"/>
        <v>963009.00462709414</v>
      </c>
      <c r="H677" s="953">
        <f t="shared" si="40"/>
        <v>963009.00462709414</v>
      </c>
      <c r="I677" s="512">
        <f t="shared" si="37"/>
        <v>0</v>
      </c>
      <c r="J677" s="512"/>
      <c r="K677" s="649"/>
      <c r="L677" s="518"/>
      <c r="M677" s="649"/>
      <c r="N677" s="518"/>
      <c r="O677" s="518"/>
    </row>
    <row r="678" spans="3:15">
      <c r="C678" s="508">
        <f>IF(D631="","-",+C677+1)</f>
        <v>2057</v>
      </c>
      <c r="D678" s="471">
        <f t="shared" si="38"/>
        <v>1457644.3948412593</v>
      </c>
      <c r="E678" s="515">
        <f t="shared" si="41"/>
        <v>760510.11904761905</v>
      </c>
      <c r="F678" s="471">
        <f t="shared" si="36"/>
        <v>697134.27579364029</v>
      </c>
      <c r="G678" s="950">
        <f t="shared" si="39"/>
        <v>879216.36231834535</v>
      </c>
      <c r="H678" s="953">
        <f t="shared" si="40"/>
        <v>879216.36231834535</v>
      </c>
      <c r="I678" s="512">
        <f t="shared" si="37"/>
        <v>0</v>
      </c>
      <c r="J678" s="512"/>
      <c r="K678" s="649"/>
      <c r="L678" s="518"/>
      <c r="M678" s="649"/>
      <c r="N678" s="518"/>
      <c r="O678" s="518"/>
    </row>
    <row r="679" spans="3:15">
      <c r="C679" s="508">
        <f>IF(D631="","-",+C678+1)</f>
        <v>2058</v>
      </c>
      <c r="D679" s="471">
        <f t="shared" si="38"/>
        <v>697134.27579364029</v>
      </c>
      <c r="E679" s="515">
        <f t="shared" si="41"/>
        <v>697134.27579364029</v>
      </c>
      <c r="F679" s="471">
        <f t="shared" si="36"/>
        <v>0</v>
      </c>
      <c r="G679" s="950">
        <f t="shared" si="39"/>
        <v>735539.2368518163</v>
      </c>
      <c r="H679" s="953">
        <f t="shared" si="40"/>
        <v>735539.2368518163</v>
      </c>
      <c r="I679" s="512">
        <f t="shared" si="37"/>
        <v>0</v>
      </c>
      <c r="J679" s="512"/>
      <c r="K679" s="649"/>
      <c r="L679" s="518"/>
      <c r="M679" s="649"/>
      <c r="N679" s="518"/>
      <c r="O679" s="518"/>
    </row>
    <row r="680" spans="3:15">
      <c r="C680" s="508">
        <f>IF(D631="","-",+C679+1)</f>
        <v>2059</v>
      </c>
      <c r="D680" s="471">
        <f t="shared" si="38"/>
        <v>0</v>
      </c>
      <c r="E680" s="515">
        <f t="shared" si="41"/>
        <v>0</v>
      </c>
      <c r="F680" s="471">
        <f t="shared" si="36"/>
        <v>0</v>
      </c>
      <c r="G680" s="950">
        <f t="shared" si="39"/>
        <v>0</v>
      </c>
      <c r="H680" s="953">
        <f t="shared" si="40"/>
        <v>0</v>
      </c>
      <c r="I680" s="512">
        <f t="shared" si="37"/>
        <v>0</v>
      </c>
      <c r="J680" s="512"/>
      <c r="K680" s="649"/>
      <c r="L680" s="518"/>
      <c r="M680" s="649"/>
      <c r="N680" s="518"/>
      <c r="O680" s="518"/>
    </row>
    <row r="681" spans="3:15">
      <c r="C681" s="508">
        <f>IF(D631="","-",+C680+1)</f>
        <v>2060</v>
      </c>
      <c r="D681" s="471">
        <f t="shared" si="38"/>
        <v>0</v>
      </c>
      <c r="E681" s="515">
        <f t="shared" si="41"/>
        <v>0</v>
      </c>
      <c r="F681" s="471">
        <f t="shared" si="36"/>
        <v>0</v>
      </c>
      <c r="G681" s="950">
        <f t="shared" si="39"/>
        <v>0</v>
      </c>
      <c r="H681" s="953">
        <f t="shared" si="40"/>
        <v>0</v>
      </c>
      <c r="I681" s="512">
        <f t="shared" si="37"/>
        <v>0</v>
      </c>
      <c r="J681" s="512"/>
      <c r="K681" s="649"/>
      <c r="L681" s="518"/>
      <c r="M681" s="649"/>
      <c r="N681" s="518"/>
      <c r="O681" s="518"/>
    </row>
    <row r="682" spans="3:15">
      <c r="C682" s="508">
        <f>IF(D631="","-",+C681+1)</f>
        <v>2061</v>
      </c>
      <c r="D682" s="471">
        <f t="shared" si="38"/>
        <v>0</v>
      </c>
      <c r="E682" s="515">
        <f t="shared" si="41"/>
        <v>0</v>
      </c>
      <c r="F682" s="471">
        <f t="shared" si="36"/>
        <v>0</v>
      </c>
      <c r="G682" s="950">
        <f t="shared" si="39"/>
        <v>0</v>
      </c>
      <c r="H682" s="953">
        <f t="shared" si="40"/>
        <v>0</v>
      </c>
      <c r="I682" s="512">
        <f t="shared" si="37"/>
        <v>0</v>
      </c>
      <c r="J682" s="512"/>
      <c r="K682" s="649"/>
      <c r="L682" s="518"/>
      <c r="M682" s="649"/>
      <c r="N682" s="518"/>
      <c r="O682" s="518"/>
    </row>
    <row r="683" spans="3:15">
      <c r="C683" s="508">
        <f>IF(D631="","-",+C682+1)</f>
        <v>2062</v>
      </c>
      <c r="D683" s="471">
        <f t="shared" si="38"/>
        <v>0</v>
      </c>
      <c r="E683" s="515">
        <f t="shared" si="41"/>
        <v>0</v>
      </c>
      <c r="F683" s="471">
        <f t="shared" si="36"/>
        <v>0</v>
      </c>
      <c r="G683" s="950">
        <f t="shared" si="39"/>
        <v>0</v>
      </c>
      <c r="H683" s="953">
        <f t="shared" si="40"/>
        <v>0</v>
      </c>
      <c r="I683" s="512">
        <f t="shared" si="37"/>
        <v>0</v>
      </c>
      <c r="J683" s="512"/>
      <c r="K683" s="649"/>
      <c r="L683" s="518"/>
      <c r="M683" s="649"/>
      <c r="N683" s="518"/>
      <c r="O683" s="518"/>
    </row>
    <row r="684" spans="3:15">
      <c r="C684" s="508">
        <f>IF(D631="","-",+C683+1)</f>
        <v>2063</v>
      </c>
      <c r="D684" s="471">
        <f t="shared" si="38"/>
        <v>0</v>
      </c>
      <c r="E684" s="515">
        <f t="shared" si="41"/>
        <v>0</v>
      </c>
      <c r="F684" s="471">
        <f t="shared" si="36"/>
        <v>0</v>
      </c>
      <c r="G684" s="950">
        <f t="shared" si="39"/>
        <v>0</v>
      </c>
      <c r="H684" s="953">
        <f t="shared" si="40"/>
        <v>0</v>
      </c>
      <c r="I684" s="512">
        <f t="shared" si="37"/>
        <v>0</v>
      </c>
      <c r="J684" s="512"/>
      <c r="K684" s="649"/>
      <c r="L684" s="518"/>
      <c r="M684" s="649"/>
      <c r="N684" s="518"/>
      <c r="O684" s="518"/>
    </row>
    <row r="685" spans="3:15">
      <c r="C685" s="508">
        <f>IF(D631="","-",+C684+1)</f>
        <v>2064</v>
      </c>
      <c r="D685" s="471">
        <f t="shared" si="38"/>
        <v>0</v>
      </c>
      <c r="E685" s="515">
        <f t="shared" si="41"/>
        <v>0</v>
      </c>
      <c r="F685" s="471">
        <f t="shared" si="36"/>
        <v>0</v>
      </c>
      <c r="G685" s="950">
        <f t="shared" si="39"/>
        <v>0</v>
      </c>
      <c r="H685" s="953">
        <f t="shared" si="40"/>
        <v>0</v>
      </c>
      <c r="I685" s="512">
        <f t="shared" si="37"/>
        <v>0</v>
      </c>
      <c r="J685" s="512"/>
      <c r="K685" s="649"/>
      <c r="L685" s="518"/>
      <c r="M685" s="649"/>
      <c r="N685" s="518"/>
      <c r="O685" s="518"/>
    </row>
    <row r="686" spans="3:15">
      <c r="C686" s="508">
        <f>IF(D631="","-",+C685+1)</f>
        <v>2065</v>
      </c>
      <c r="D686" s="471">
        <f t="shared" si="38"/>
        <v>0</v>
      </c>
      <c r="E686" s="515">
        <f t="shared" si="41"/>
        <v>0</v>
      </c>
      <c r="F686" s="471">
        <f t="shared" si="36"/>
        <v>0</v>
      </c>
      <c r="G686" s="950">
        <f t="shared" si="39"/>
        <v>0</v>
      </c>
      <c r="H686" s="953">
        <f t="shared" si="40"/>
        <v>0</v>
      </c>
      <c r="I686" s="512">
        <f t="shared" si="37"/>
        <v>0</v>
      </c>
      <c r="J686" s="512"/>
      <c r="K686" s="649"/>
      <c r="L686" s="518"/>
      <c r="M686" s="649"/>
      <c r="N686" s="518"/>
      <c r="O686" s="518"/>
    </row>
    <row r="687" spans="3:15">
      <c r="C687" s="508">
        <f>IF(D631="","-",+C686+1)</f>
        <v>2066</v>
      </c>
      <c r="D687" s="471">
        <f t="shared" si="38"/>
        <v>0</v>
      </c>
      <c r="E687" s="515">
        <f t="shared" si="41"/>
        <v>0</v>
      </c>
      <c r="F687" s="471">
        <f t="shared" si="36"/>
        <v>0</v>
      </c>
      <c r="G687" s="950">
        <f t="shared" si="39"/>
        <v>0</v>
      </c>
      <c r="H687" s="953">
        <f t="shared" si="40"/>
        <v>0</v>
      </c>
      <c r="I687" s="512">
        <f t="shared" si="37"/>
        <v>0</v>
      </c>
      <c r="J687" s="512"/>
      <c r="K687" s="649"/>
      <c r="L687" s="518"/>
      <c r="M687" s="649"/>
      <c r="N687" s="518"/>
      <c r="O687" s="518"/>
    </row>
    <row r="688" spans="3:15">
      <c r="C688" s="508">
        <f>IF(D631="","-",+C687+1)</f>
        <v>2067</v>
      </c>
      <c r="D688" s="471">
        <f t="shared" si="38"/>
        <v>0</v>
      </c>
      <c r="E688" s="515">
        <f t="shared" si="41"/>
        <v>0</v>
      </c>
      <c r="F688" s="471">
        <f t="shared" si="36"/>
        <v>0</v>
      </c>
      <c r="G688" s="950">
        <f t="shared" si="39"/>
        <v>0</v>
      </c>
      <c r="H688" s="953">
        <f t="shared" si="40"/>
        <v>0</v>
      </c>
      <c r="I688" s="512">
        <f t="shared" si="37"/>
        <v>0</v>
      </c>
      <c r="J688" s="512"/>
      <c r="K688" s="649"/>
      <c r="L688" s="518"/>
      <c r="M688" s="649"/>
      <c r="N688" s="518"/>
      <c r="O688" s="518"/>
    </row>
    <row r="689" spans="3:15">
      <c r="C689" s="508">
        <f>IF(D631="","-",+C688+1)</f>
        <v>2068</v>
      </c>
      <c r="D689" s="471">
        <f t="shared" si="38"/>
        <v>0</v>
      </c>
      <c r="E689" s="515">
        <f t="shared" si="41"/>
        <v>0</v>
      </c>
      <c r="F689" s="471">
        <f t="shared" si="36"/>
        <v>0</v>
      </c>
      <c r="G689" s="950">
        <f t="shared" si="39"/>
        <v>0</v>
      </c>
      <c r="H689" s="953">
        <f t="shared" si="40"/>
        <v>0</v>
      </c>
      <c r="I689" s="512">
        <f t="shared" si="37"/>
        <v>0</v>
      </c>
      <c r="J689" s="512"/>
      <c r="K689" s="649"/>
      <c r="L689" s="518"/>
      <c r="M689" s="649"/>
      <c r="N689" s="518"/>
      <c r="O689" s="518"/>
    </row>
    <row r="690" spans="3:15">
      <c r="C690" s="508">
        <f>IF(D631="","-",+C689+1)</f>
        <v>2069</v>
      </c>
      <c r="D690" s="471">
        <f t="shared" si="38"/>
        <v>0</v>
      </c>
      <c r="E690" s="515">
        <f t="shared" si="41"/>
        <v>0</v>
      </c>
      <c r="F690" s="471">
        <f t="shared" si="36"/>
        <v>0</v>
      </c>
      <c r="G690" s="950">
        <f t="shared" si="39"/>
        <v>0</v>
      </c>
      <c r="H690" s="953">
        <f t="shared" si="40"/>
        <v>0</v>
      </c>
      <c r="I690" s="512">
        <f t="shared" si="37"/>
        <v>0</v>
      </c>
      <c r="J690" s="512"/>
      <c r="K690" s="649"/>
      <c r="L690" s="518"/>
      <c r="M690" s="649"/>
      <c r="N690" s="518"/>
      <c r="O690" s="518"/>
    </row>
    <row r="691" spans="3:15">
      <c r="C691" s="508">
        <f>IF(D631="","-",+C690+1)</f>
        <v>2070</v>
      </c>
      <c r="D691" s="471">
        <f t="shared" si="38"/>
        <v>0</v>
      </c>
      <c r="E691" s="515">
        <f t="shared" si="41"/>
        <v>0</v>
      </c>
      <c r="F691" s="471">
        <f t="shared" si="36"/>
        <v>0</v>
      </c>
      <c r="G691" s="950">
        <f t="shared" si="39"/>
        <v>0</v>
      </c>
      <c r="H691" s="953">
        <f t="shared" si="40"/>
        <v>0</v>
      </c>
      <c r="I691" s="512">
        <f t="shared" si="37"/>
        <v>0</v>
      </c>
      <c r="J691" s="512"/>
      <c r="K691" s="649"/>
      <c r="L691" s="518"/>
      <c r="M691" s="649"/>
      <c r="N691" s="518"/>
      <c r="O691" s="518"/>
    </row>
    <row r="692" spans="3:15">
      <c r="C692" s="508">
        <f>IF(D631="","-",+C691+1)</f>
        <v>2071</v>
      </c>
      <c r="D692" s="471">
        <f t="shared" si="38"/>
        <v>0</v>
      </c>
      <c r="E692" s="515">
        <f t="shared" si="41"/>
        <v>0</v>
      </c>
      <c r="F692" s="471">
        <f t="shared" si="36"/>
        <v>0</v>
      </c>
      <c r="G692" s="950">
        <f t="shared" si="39"/>
        <v>0</v>
      </c>
      <c r="H692" s="953">
        <f t="shared" si="40"/>
        <v>0</v>
      </c>
      <c r="I692" s="512">
        <f t="shared" si="37"/>
        <v>0</v>
      </c>
      <c r="J692" s="512"/>
      <c r="K692" s="649"/>
      <c r="L692" s="518"/>
      <c r="M692" s="649"/>
      <c r="N692" s="518"/>
      <c r="O692" s="518"/>
    </row>
    <row r="693" spans="3:15">
      <c r="C693" s="508">
        <f>IF(D631="","-",+C692+1)</f>
        <v>2072</v>
      </c>
      <c r="D693" s="471">
        <f t="shared" si="38"/>
        <v>0</v>
      </c>
      <c r="E693" s="515">
        <f t="shared" si="41"/>
        <v>0</v>
      </c>
      <c r="F693" s="471">
        <f t="shared" si="36"/>
        <v>0</v>
      </c>
      <c r="G693" s="950">
        <f t="shared" si="39"/>
        <v>0</v>
      </c>
      <c r="H693" s="953">
        <f t="shared" si="40"/>
        <v>0</v>
      </c>
      <c r="I693" s="512">
        <f t="shared" si="37"/>
        <v>0</v>
      </c>
      <c r="J693" s="512"/>
      <c r="K693" s="649"/>
      <c r="L693" s="518"/>
      <c r="M693" s="649"/>
      <c r="N693" s="518"/>
      <c r="O693" s="518"/>
    </row>
    <row r="694" spans="3:15">
      <c r="C694" s="508">
        <f>IF(D631="","-",+C693+1)</f>
        <v>2073</v>
      </c>
      <c r="D694" s="471">
        <f t="shared" si="38"/>
        <v>0</v>
      </c>
      <c r="E694" s="515">
        <f t="shared" si="41"/>
        <v>0</v>
      </c>
      <c r="F694" s="471">
        <f t="shared" si="36"/>
        <v>0</v>
      </c>
      <c r="G694" s="950">
        <f t="shared" si="39"/>
        <v>0</v>
      </c>
      <c r="H694" s="953">
        <f t="shared" si="40"/>
        <v>0</v>
      </c>
      <c r="I694" s="512">
        <f t="shared" si="37"/>
        <v>0</v>
      </c>
      <c r="J694" s="512"/>
      <c r="K694" s="649"/>
      <c r="L694" s="518"/>
      <c r="M694" s="649"/>
      <c r="N694" s="518"/>
      <c r="O694" s="518"/>
    </row>
    <row r="695" spans="3:15">
      <c r="C695" s="508">
        <f>IF(D631="","-",+C694+1)</f>
        <v>2074</v>
      </c>
      <c r="D695" s="471">
        <f t="shared" si="38"/>
        <v>0</v>
      </c>
      <c r="E695" s="515">
        <f t="shared" si="41"/>
        <v>0</v>
      </c>
      <c r="F695" s="471">
        <f t="shared" si="36"/>
        <v>0</v>
      </c>
      <c r="G695" s="950">
        <f t="shared" si="39"/>
        <v>0</v>
      </c>
      <c r="H695" s="953">
        <f t="shared" si="40"/>
        <v>0</v>
      </c>
      <c r="I695" s="512">
        <f t="shared" si="37"/>
        <v>0</v>
      </c>
      <c r="J695" s="512"/>
      <c r="K695" s="649"/>
      <c r="L695" s="518"/>
      <c r="M695" s="649"/>
      <c r="N695" s="518"/>
      <c r="O695" s="518"/>
    </row>
    <row r="696" spans="3:15" ht="13.5" thickBot="1">
      <c r="C696" s="520">
        <f>IF(D631="","-",+C695+1)</f>
        <v>2075</v>
      </c>
      <c r="D696" s="521">
        <f t="shared" si="38"/>
        <v>0</v>
      </c>
      <c r="E696" s="522">
        <f t="shared" si="41"/>
        <v>0</v>
      </c>
      <c r="F696" s="521">
        <f t="shared" si="36"/>
        <v>0</v>
      </c>
      <c r="G696" s="960">
        <f t="shared" si="39"/>
        <v>0</v>
      </c>
      <c r="H696" s="960">
        <f t="shared" si="40"/>
        <v>0</v>
      </c>
      <c r="I696" s="524">
        <f t="shared" si="37"/>
        <v>0</v>
      </c>
      <c r="J696" s="512"/>
      <c r="K696" s="650"/>
      <c r="L696" s="526"/>
      <c r="M696" s="650"/>
      <c r="N696" s="526"/>
      <c r="O696" s="526"/>
    </row>
    <row r="697" spans="3:15">
      <c r="C697" s="471" t="s">
        <v>288</v>
      </c>
      <c r="D697" s="931"/>
      <c r="E697" s="931">
        <f>SUM(E637:E696)</f>
        <v>31941425.000000004</v>
      </c>
      <c r="F697" s="931"/>
      <c r="G697" s="931">
        <f>SUM(G637:G696)</f>
        <v>109072552.24520323</v>
      </c>
      <c r="H697" s="931">
        <f>SUM(H637:H696)</f>
        <v>109072552.24520323</v>
      </c>
      <c r="I697" s="931">
        <f>SUM(I637:I696)</f>
        <v>0</v>
      </c>
      <c r="J697" s="931"/>
      <c r="K697" s="931"/>
      <c r="L697" s="931"/>
      <c r="M697" s="931"/>
      <c r="N697" s="931"/>
      <c r="O697" s="4"/>
    </row>
    <row r="698" spans="3:15">
      <c r="D698" s="78"/>
      <c r="E698" s="4"/>
      <c r="F698" s="4"/>
      <c r="G698" s="4"/>
      <c r="H698" s="930"/>
      <c r="I698" s="930"/>
      <c r="J698" s="931"/>
      <c r="K698" s="930"/>
      <c r="L698" s="930"/>
      <c r="M698" s="930"/>
      <c r="N698" s="930"/>
      <c r="O698" s="4"/>
    </row>
    <row r="699" spans="3:15">
      <c r="C699" s="4" t="s">
        <v>600</v>
      </c>
      <c r="D699" s="78"/>
      <c r="E699" s="4"/>
      <c r="F699" s="4"/>
      <c r="G699" s="4"/>
      <c r="H699" s="930"/>
      <c r="I699" s="930"/>
      <c r="J699" s="931"/>
      <c r="K699" s="930"/>
      <c r="L699" s="930"/>
      <c r="M699" s="930"/>
      <c r="N699" s="930"/>
      <c r="O699" s="4"/>
    </row>
    <row r="700" spans="3:15">
      <c r="D700" s="78"/>
      <c r="E700" s="4"/>
      <c r="F700" s="4"/>
      <c r="G700" s="4"/>
      <c r="H700" s="930"/>
      <c r="I700" s="930"/>
      <c r="J700" s="931"/>
      <c r="K700" s="930"/>
      <c r="L700" s="930"/>
      <c r="M700" s="930"/>
      <c r="N700" s="930"/>
      <c r="O700" s="4"/>
    </row>
    <row r="701" spans="3:15">
      <c r="C701" s="4" t="s">
        <v>601</v>
      </c>
      <c r="D701" s="471"/>
      <c r="E701" s="471"/>
      <c r="F701" s="471"/>
      <c r="G701" s="931"/>
      <c r="H701" s="931"/>
      <c r="I701" s="473"/>
      <c r="J701" s="473"/>
      <c r="K701" s="473"/>
      <c r="L701" s="473"/>
      <c r="M701" s="473"/>
      <c r="N701" s="473"/>
      <c r="O701" s="4"/>
    </row>
    <row r="702" spans="3:15">
      <c r="C702" s="4" t="s">
        <v>476</v>
      </c>
      <c r="D702" s="471"/>
      <c r="E702" s="471"/>
      <c r="F702" s="471"/>
      <c r="G702" s="931"/>
      <c r="H702" s="931"/>
      <c r="I702" s="473"/>
      <c r="J702" s="473"/>
      <c r="K702" s="473"/>
      <c r="L702" s="473"/>
      <c r="M702" s="473"/>
      <c r="N702" s="473"/>
      <c r="O702" s="4"/>
    </row>
    <row r="703" spans="3:15">
      <c r="C703" s="4" t="s">
        <v>289</v>
      </c>
      <c r="D703" s="471"/>
      <c r="E703" s="471"/>
      <c r="F703" s="471"/>
      <c r="G703" s="931"/>
      <c r="H703" s="931"/>
      <c r="I703" s="473"/>
      <c r="J703" s="473"/>
      <c r="K703" s="473"/>
      <c r="L703" s="473"/>
      <c r="M703" s="473"/>
      <c r="N703" s="473"/>
      <c r="O703" s="4"/>
    </row>
    <row r="704" spans="3:15">
      <c r="C704" s="472"/>
      <c r="D704" s="471"/>
      <c r="E704" s="471"/>
      <c r="F704" s="471"/>
      <c r="G704" s="931"/>
      <c r="H704" s="931"/>
      <c r="I704" s="473"/>
      <c r="J704" s="473"/>
      <c r="K704" s="473"/>
      <c r="L704" s="473"/>
      <c r="M704" s="473"/>
      <c r="N704" s="473"/>
      <c r="O704" s="4"/>
    </row>
    <row r="705" spans="1:16">
      <c r="C705" s="1303" t="s">
        <v>460</v>
      </c>
      <c r="D705" s="1303"/>
      <c r="E705" s="1303"/>
      <c r="F705" s="1303"/>
      <c r="G705" s="1303"/>
      <c r="H705" s="1303"/>
      <c r="I705" s="1303"/>
      <c r="J705" s="1303"/>
      <c r="K705" s="1303"/>
      <c r="L705" s="1303"/>
      <c r="M705" s="1303"/>
      <c r="N705" s="1303"/>
      <c r="O705" s="1303"/>
    </row>
    <row r="706" spans="1:16">
      <c r="C706" s="1303"/>
      <c r="D706" s="1303"/>
      <c r="E706" s="1303"/>
      <c r="F706" s="1303"/>
      <c r="G706" s="1303"/>
      <c r="H706" s="1303"/>
      <c r="I706" s="1303"/>
      <c r="J706" s="1303"/>
      <c r="K706" s="1303"/>
      <c r="L706" s="1303"/>
      <c r="M706" s="1303"/>
      <c r="N706" s="1303"/>
      <c r="O706" s="1303"/>
    </row>
    <row r="707" spans="1:16" ht="20.25">
      <c r="A707" s="413" t="s">
        <v>927</v>
      </c>
      <c r="B707" s="4"/>
      <c r="C707" s="4"/>
      <c r="D707" s="78"/>
      <c r="E707" s="4"/>
      <c r="F707" s="80"/>
      <c r="G707" s="4"/>
      <c r="H707" s="930"/>
      <c r="K707" s="11"/>
      <c r="L707" s="11"/>
      <c r="M707" s="11"/>
      <c r="N707" s="11" t="str">
        <f>"Page "&amp;SUM(P$6:P707)&amp;" of "</f>
        <v xml:space="preserve">Page 9 of </v>
      </c>
      <c r="O707" s="414">
        <f>COUNT(P$6:P$59606)</f>
        <v>14</v>
      </c>
      <c r="P707" s="4">
        <v>1</v>
      </c>
    </row>
    <row r="708" spans="1:16">
      <c r="B708" s="4"/>
      <c r="C708" s="4"/>
      <c r="D708" s="78"/>
      <c r="E708" s="4"/>
      <c r="F708" s="4"/>
      <c r="G708" s="4"/>
      <c r="H708" s="930"/>
      <c r="I708" s="4"/>
      <c r="J708" s="4"/>
      <c r="K708" s="4"/>
      <c r="L708" s="4"/>
      <c r="M708" s="4"/>
      <c r="N708" s="4"/>
      <c r="O708" s="4"/>
    </row>
    <row r="709" spans="1:16" ht="18">
      <c r="B709" s="415" t="s">
        <v>174</v>
      </c>
      <c r="C709" s="474" t="s">
        <v>290</v>
      </c>
      <c r="D709" s="78"/>
      <c r="E709" s="4"/>
      <c r="F709" s="4"/>
      <c r="G709" s="4"/>
      <c r="H709" s="930"/>
      <c r="I709" s="930"/>
      <c r="J709" s="931"/>
      <c r="K709" s="930"/>
      <c r="L709" s="930"/>
      <c r="M709" s="930"/>
      <c r="N709" s="930"/>
      <c r="O709" s="4"/>
    </row>
    <row r="710" spans="1:16" ht="18.75">
      <c r="B710" s="415"/>
      <c r="C710" s="13"/>
      <c r="D710" s="78"/>
      <c r="E710" s="4"/>
      <c r="F710" s="4"/>
      <c r="G710" s="4"/>
      <c r="H710" s="930"/>
      <c r="I710" s="930"/>
      <c r="J710" s="931"/>
      <c r="K710" s="930"/>
      <c r="L710" s="930"/>
      <c r="M710" s="930"/>
      <c r="N710" s="930"/>
      <c r="O710" s="4"/>
    </row>
    <row r="711" spans="1:16" ht="18.75">
      <c r="B711" s="415"/>
      <c r="C711" s="13" t="s">
        <v>291</v>
      </c>
      <c r="D711" s="78"/>
      <c r="E711" s="4"/>
      <c r="F711" s="4"/>
      <c r="G711" s="4"/>
      <c r="H711" s="930"/>
      <c r="I711" s="930"/>
      <c r="J711" s="931"/>
      <c r="K711" s="930"/>
      <c r="L711" s="930"/>
      <c r="M711" s="930"/>
      <c r="N711" s="930"/>
      <c r="O711" s="4"/>
    </row>
    <row r="712" spans="1:16" ht="15.75" thickBot="1">
      <c r="C712" s="250"/>
      <c r="D712" s="78"/>
      <c r="E712" s="4"/>
      <c r="F712" s="4"/>
      <c r="G712" s="4"/>
      <c r="H712" s="930"/>
      <c r="I712" s="930"/>
      <c r="J712" s="931"/>
      <c r="K712" s="930"/>
      <c r="L712" s="930"/>
      <c r="M712" s="930"/>
      <c r="N712" s="930"/>
      <c r="O712" s="4"/>
    </row>
    <row r="713" spans="1:16" ht="15.75">
      <c r="C713" s="416" t="s">
        <v>292</v>
      </c>
      <c r="D713" s="78"/>
      <c r="E713" s="4"/>
      <c r="F713" s="4"/>
      <c r="G713" s="932"/>
      <c r="H713" s="4" t="s">
        <v>271</v>
      </c>
      <c r="I713" s="4"/>
      <c r="J713" s="4"/>
      <c r="K713" s="475" t="s">
        <v>296</v>
      </c>
      <c r="L713" s="476"/>
      <c r="M713" s="477"/>
      <c r="N713" s="933">
        <f>VLOOKUP(I719,C726:O785,5)</f>
        <v>698490.07681323646</v>
      </c>
      <c r="O713" s="4"/>
    </row>
    <row r="714" spans="1:16" ht="15.75">
      <c r="C714" s="416"/>
      <c r="D714" s="78"/>
      <c r="E714" s="4"/>
      <c r="F714" s="4"/>
      <c r="G714" s="4"/>
      <c r="H714" s="934"/>
      <c r="I714" s="934"/>
      <c r="J714" s="935"/>
      <c r="K714" s="480" t="s">
        <v>297</v>
      </c>
      <c r="L714" s="936"/>
      <c r="M714" s="4"/>
      <c r="N714" s="937">
        <f>VLOOKUP(I719,C726:O785,6)</f>
        <v>698490.07681323646</v>
      </c>
      <c r="O714" s="4"/>
    </row>
    <row r="715" spans="1:16" ht="13.5" thickBot="1">
      <c r="C715" s="481" t="s">
        <v>293</v>
      </c>
      <c r="D715" s="1304" t="s">
        <v>936</v>
      </c>
      <c r="E715" s="1304"/>
      <c r="F715" s="1304"/>
      <c r="G715" s="1304"/>
      <c r="H715" s="1304"/>
      <c r="I715" s="930"/>
      <c r="J715" s="931"/>
      <c r="K715" s="938" t="s">
        <v>450</v>
      </c>
      <c r="L715" s="939"/>
      <c r="M715" s="939"/>
      <c r="N715" s="940">
        <f>+N714-N713</f>
        <v>0</v>
      </c>
      <c r="O715" s="4"/>
    </row>
    <row r="716" spans="1:16">
      <c r="C716" s="483"/>
      <c r="D716" s="484"/>
      <c r="E716" s="471"/>
      <c r="F716" s="471"/>
      <c r="G716" s="485"/>
      <c r="H716" s="930"/>
      <c r="I716" s="930"/>
      <c r="J716" s="931"/>
      <c r="K716" s="930"/>
      <c r="L716" s="930"/>
      <c r="M716" s="930"/>
      <c r="N716" s="930"/>
      <c r="O716" s="4"/>
    </row>
    <row r="717" spans="1:16" ht="13.5" thickBot="1">
      <c r="C717" s="483"/>
      <c r="D717" s="4"/>
      <c r="E717" s="485"/>
      <c r="F717" s="485"/>
      <c r="G717" s="485"/>
      <c r="H717" s="485"/>
      <c r="I717" s="485"/>
      <c r="J717" s="485"/>
      <c r="K717" s="485"/>
      <c r="L717" s="485"/>
      <c r="M717" s="485"/>
      <c r="N717" s="485"/>
      <c r="O717" s="4"/>
    </row>
    <row r="718" spans="1:16" ht="13.5" thickBot="1">
      <c r="C718" s="487" t="s">
        <v>294</v>
      </c>
      <c r="D718" s="488"/>
      <c r="E718" s="488"/>
      <c r="F718" s="488"/>
      <c r="G718" s="488"/>
      <c r="H718" s="488"/>
      <c r="I718" s="489"/>
      <c r="K718" s="4"/>
      <c r="L718" s="4"/>
      <c r="M718" s="4"/>
      <c r="N718" s="4"/>
      <c r="O718" s="4"/>
    </row>
    <row r="719" spans="1:16" ht="15">
      <c r="C719" s="490" t="s">
        <v>272</v>
      </c>
      <c r="D719" s="941">
        <v>5481331</v>
      </c>
      <c r="E719" s="4" t="s">
        <v>273</v>
      </c>
      <c r="G719" s="78"/>
      <c r="H719" s="78"/>
      <c r="I719" s="491">
        <v>2018</v>
      </c>
      <c r="J719" s="134"/>
      <c r="K719" s="1302" t="s">
        <v>459</v>
      </c>
      <c r="L719" s="1302"/>
      <c r="M719" s="1302"/>
      <c r="N719" s="1302"/>
      <c r="O719" s="1302"/>
    </row>
    <row r="720" spans="1:16">
      <c r="C720" s="490" t="s">
        <v>275</v>
      </c>
      <c r="D720" s="644">
        <v>2015</v>
      </c>
      <c r="E720" s="490" t="s">
        <v>276</v>
      </c>
      <c r="F720" s="78"/>
      <c r="H720"/>
      <c r="I720" s="647">
        <f>IF(G713="",0,$F$15)</f>
        <v>0</v>
      </c>
      <c r="J720" s="492"/>
      <c r="K720" s="931" t="s">
        <v>459</v>
      </c>
    </row>
    <row r="721" spans="1:15">
      <c r="C721" s="490" t="s">
        <v>277</v>
      </c>
      <c r="D721" s="942">
        <v>12</v>
      </c>
      <c r="E721" s="490" t="s">
        <v>278</v>
      </c>
      <c r="F721" s="78"/>
      <c r="H721"/>
      <c r="I721" s="493">
        <f>$G$70</f>
        <v>0.11017952320434825</v>
      </c>
      <c r="J721" s="80"/>
      <c r="K721" t="str">
        <f>"          INPUT PROJECTED ARR (WITH &amp; WITHOUT INCENTIVES) FROM EACH PRIOR YEAR"</f>
        <v xml:space="preserve">          INPUT PROJECTED ARR (WITH &amp; WITHOUT INCENTIVES) FROM EACH PRIOR YEAR</v>
      </c>
    </row>
    <row r="722" spans="1:15">
      <c r="C722" s="490" t="s">
        <v>279</v>
      </c>
      <c r="D722" s="494">
        <f>G$79</f>
        <v>42</v>
      </c>
      <c r="E722" s="490" t="s">
        <v>280</v>
      </c>
      <c r="F722" s="78"/>
      <c r="H722"/>
      <c r="I722" s="493">
        <f>IF(G713="",I721,$G$67)</f>
        <v>0.11017952320434825</v>
      </c>
      <c r="J722" s="80"/>
      <c r="K722" t="s">
        <v>357</v>
      </c>
    </row>
    <row r="723" spans="1:15" ht="13.5" thickBot="1">
      <c r="C723" s="490" t="s">
        <v>281</v>
      </c>
      <c r="D723" s="646" t="s">
        <v>929</v>
      </c>
      <c r="E723" s="495" t="s">
        <v>282</v>
      </c>
      <c r="F723" s="496"/>
      <c r="G723" s="497"/>
      <c r="H723" s="497"/>
      <c r="I723" s="940">
        <f>IF(D719=0,0,D719/D722)</f>
        <v>130507.88095238095</v>
      </c>
      <c r="J723" s="931"/>
      <c r="K723" s="931" t="s">
        <v>363</v>
      </c>
      <c r="L723" s="931"/>
      <c r="M723" s="931"/>
      <c r="N723" s="931"/>
      <c r="O723" s="4"/>
    </row>
    <row r="724" spans="1:15" ht="51">
      <c r="A724" s="12"/>
      <c r="B724" s="12"/>
      <c r="C724" s="498" t="s">
        <v>272</v>
      </c>
      <c r="D724" s="943" t="s">
        <v>283</v>
      </c>
      <c r="E724" s="944" t="s">
        <v>284</v>
      </c>
      <c r="F724" s="943" t="s">
        <v>285</v>
      </c>
      <c r="G724" s="944" t="s">
        <v>356</v>
      </c>
      <c r="H724" s="945" t="s">
        <v>356</v>
      </c>
      <c r="I724" s="498" t="s">
        <v>295</v>
      </c>
      <c r="J724" s="502"/>
      <c r="K724" s="944" t="s">
        <v>365</v>
      </c>
      <c r="L724" s="946"/>
      <c r="M724" s="944" t="s">
        <v>365</v>
      </c>
      <c r="N724" s="946"/>
      <c r="O724" s="946"/>
    </row>
    <row r="725" spans="1:15" ht="13.5" thickBot="1">
      <c r="C725" s="503" t="s">
        <v>177</v>
      </c>
      <c r="D725" s="504" t="s">
        <v>178</v>
      </c>
      <c r="E725" s="503" t="s">
        <v>37</v>
      </c>
      <c r="F725" s="504" t="s">
        <v>178</v>
      </c>
      <c r="G725" s="947" t="s">
        <v>298</v>
      </c>
      <c r="H725" s="948" t="s">
        <v>300</v>
      </c>
      <c r="I725" s="503" t="s">
        <v>389</v>
      </c>
      <c r="J725" s="507"/>
      <c r="K725" s="947" t="s">
        <v>287</v>
      </c>
      <c r="L725" s="949"/>
      <c r="M725" s="947" t="s">
        <v>300</v>
      </c>
      <c r="N725" s="949"/>
      <c r="O725" s="949"/>
    </row>
    <row r="726" spans="1:15">
      <c r="C726" s="508">
        <f>IF(D720= "","-",D720)</f>
        <v>2015</v>
      </c>
      <c r="D726" s="471">
        <f>+D719</f>
        <v>5481331</v>
      </c>
      <c r="E726" s="950">
        <f>+I723/12*(12-D721)</f>
        <v>0</v>
      </c>
      <c r="F726" s="471">
        <f t="shared" ref="F726:F785" si="42">+D726-E726</f>
        <v>5481331</v>
      </c>
      <c r="G726" s="951">
        <f>+$I$721*((D726+F726)/2)+E726</f>
        <v>603930.43610521336</v>
      </c>
      <c r="H726" s="952">
        <f>+$I$722*((D726+F726)/2)+E726</f>
        <v>603930.43610521336</v>
      </c>
      <c r="I726" s="512">
        <f t="shared" ref="I726:I785" si="43">+H726-G726</f>
        <v>0</v>
      </c>
      <c r="J726" s="512"/>
      <c r="K726" s="648">
        <v>0</v>
      </c>
      <c r="L726" s="514"/>
      <c r="M726" s="648">
        <v>0</v>
      </c>
      <c r="N726" s="514"/>
      <c r="O726" s="514"/>
    </row>
    <row r="727" spans="1:15">
      <c r="C727" s="508">
        <f>IF(D720="","-",+C726+1)</f>
        <v>2016</v>
      </c>
      <c r="D727" s="471">
        <f t="shared" ref="D727:D785" si="44">F726</f>
        <v>5481331</v>
      </c>
      <c r="E727" s="515">
        <f>IF(D727&gt;$I$723,$I$723,D727)</f>
        <v>130507.88095238095</v>
      </c>
      <c r="F727" s="471">
        <f t="shared" si="42"/>
        <v>5350823.1190476194</v>
      </c>
      <c r="G727" s="950">
        <f t="shared" ref="G727:G785" si="45">+$I$721*((D727+F727)/2)+E727</f>
        <v>727248.66900872276</v>
      </c>
      <c r="H727" s="953">
        <f t="shared" ref="H727:H785" si="46">+$I$722*((D727+F727)/2)+E727</f>
        <v>727248.66900872276</v>
      </c>
      <c r="I727" s="512">
        <f t="shared" si="43"/>
        <v>0</v>
      </c>
      <c r="J727" s="967"/>
      <c r="K727" s="968">
        <v>780577</v>
      </c>
      <c r="L727" s="971"/>
      <c r="M727" s="968">
        <v>780577</v>
      </c>
      <c r="N727" s="972"/>
      <c r="O727" s="518"/>
    </row>
    <row r="728" spans="1:15">
      <c r="C728" s="508">
        <f>IF(D720="","-",+C727+1)</f>
        <v>2017</v>
      </c>
      <c r="D728" s="471">
        <f t="shared" si="44"/>
        <v>5350823.1190476194</v>
      </c>
      <c r="E728" s="515">
        <f t="shared" ref="E728:E785" si="47">IF(D728&gt;$I$723,$I$723,D728)</f>
        <v>130507.88095238095</v>
      </c>
      <c r="F728" s="471">
        <f t="shared" si="42"/>
        <v>5220315.2380952388</v>
      </c>
      <c r="G728" s="950">
        <f t="shared" si="45"/>
        <v>712869.37291097967</v>
      </c>
      <c r="H728" s="953">
        <f t="shared" si="46"/>
        <v>712869.37291097967</v>
      </c>
      <c r="I728" s="512">
        <f t="shared" si="43"/>
        <v>0</v>
      </c>
      <c r="J728" s="512"/>
      <c r="K728" s="649">
        <v>779062</v>
      </c>
      <c r="L728" s="963"/>
      <c r="M728" s="649">
        <v>779062</v>
      </c>
      <c r="N728" s="518"/>
      <c r="O728" s="518"/>
    </row>
    <row r="729" spans="1:15">
      <c r="C729" s="954">
        <f>IF(D720="","-",+C728+1)</f>
        <v>2018</v>
      </c>
      <c r="D729" s="955">
        <f t="shared" si="44"/>
        <v>5220315.2380952388</v>
      </c>
      <c r="E729" s="956">
        <f t="shared" si="47"/>
        <v>130507.88095238095</v>
      </c>
      <c r="F729" s="955">
        <f t="shared" si="42"/>
        <v>5089807.3571428582</v>
      </c>
      <c r="G729" s="957">
        <f t="shared" si="45"/>
        <v>698490.07681323646</v>
      </c>
      <c r="H729" s="958">
        <f t="shared" si="46"/>
        <v>698490.07681323646</v>
      </c>
      <c r="I729" s="964">
        <f t="shared" si="43"/>
        <v>0</v>
      </c>
      <c r="J729" s="512"/>
      <c r="K729" s="649"/>
      <c r="L729" s="518"/>
      <c r="M729" s="649"/>
      <c r="N729" s="518"/>
      <c r="O729" s="518"/>
    </row>
    <row r="730" spans="1:15">
      <c r="C730" s="508">
        <f>IF(D720="","-",+C729+1)</f>
        <v>2019</v>
      </c>
      <c r="D730" s="471">
        <f t="shared" si="44"/>
        <v>5089807.3571428582</v>
      </c>
      <c r="E730" s="515">
        <f t="shared" si="47"/>
        <v>130507.88095238095</v>
      </c>
      <c r="F730" s="471">
        <f t="shared" si="42"/>
        <v>4959299.4761904776</v>
      </c>
      <c r="G730" s="950">
        <f t="shared" si="45"/>
        <v>684110.78071549337</v>
      </c>
      <c r="H730" s="953">
        <f t="shared" si="46"/>
        <v>684110.78071549337</v>
      </c>
      <c r="I730" s="512">
        <f t="shared" si="43"/>
        <v>0</v>
      </c>
      <c r="J730" s="512"/>
      <c r="K730" s="649"/>
      <c r="L730" s="518"/>
      <c r="M730" s="649"/>
      <c r="N730" s="518"/>
      <c r="O730" s="518"/>
    </row>
    <row r="731" spans="1:15">
      <c r="C731" s="508">
        <f>IF(D720="","-",+C730+1)</f>
        <v>2020</v>
      </c>
      <c r="D731" s="471">
        <f t="shared" si="44"/>
        <v>4959299.4761904776</v>
      </c>
      <c r="E731" s="515">
        <f t="shared" si="47"/>
        <v>130507.88095238095</v>
      </c>
      <c r="F731" s="471">
        <f t="shared" si="42"/>
        <v>4828791.595238097</v>
      </c>
      <c r="G731" s="950">
        <f t="shared" si="45"/>
        <v>669731.48461775016</v>
      </c>
      <c r="H731" s="953">
        <f t="shared" si="46"/>
        <v>669731.48461775016</v>
      </c>
      <c r="I731" s="512">
        <f t="shared" si="43"/>
        <v>0</v>
      </c>
      <c r="J731" s="512"/>
      <c r="K731" s="649"/>
      <c r="L731" s="518"/>
      <c r="M731" s="649"/>
      <c r="N731" s="518"/>
      <c r="O731" s="518"/>
    </row>
    <row r="732" spans="1:15">
      <c r="C732" s="508">
        <f>IF(D720="","-",+C731+1)</f>
        <v>2021</v>
      </c>
      <c r="D732" s="471">
        <f t="shared" si="44"/>
        <v>4828791.595238097</v>
      </c>
      <c r="E732" s="515">
        <f t="shared" si="47"/>
        <v>130507.88095238095</v>
      </c>
      <c r="F732" s="471">
        <f t="shared" si="42"/>
        <v>4698283.7142857164</v>
      </c>
      <c r="G732" s="950">
        <f t="shared" si="45"/>
        <v>655352.18852000707</v>
      </c>
      <c r="H732" s="953">
        <f t="shared" si="46"/>
        <v>655352.18852000707</v>
      </c>
      <c r="I732" s="512">
        <f t="shared" si="43"/>
        <v>0</v>
      </c>
      <c r="J732" s="512"/>
      <c r="K732" s="649"/>
      <c r="L732" s="518"/>
      <c r="M732" s="649"/>
      <c r="N732" s="518"/>
      <c r="O732" s="518"/>
    </row>
    <row r="733" spans="1:15">
      <c r="C733" s="508">
        <f>IF(D720="","-",+C732+1)</f>
        <v>2022</v>
      </c>
      <c r="D733" s="471">
        <f t="shared" si="44"/>
        <v>4698283.7142857164</v>
      </c>
      <c r="E733" s="515">
        <f t="shared" si="47"/>
        <v>130507.88095238095</v>
      </c>
      <c r="F733" s="471">
        <f t="shared" si="42"/>
        <v>4567775.8333333358</v>
      </c>
      <c r="G733" s="950">
        <f t="shared" si="45"/>
        <v>640972.89242226398</v>
      </c>
      <c r="H733" s="953">
        <f t="shared" si="46"/>
        <v>640972.89242226398</v>
      </c>
      <c r="I733" s="512">
        <f t="shared" si="43"/>
        <v>0</v>
      </c>
      <c r="J733" s="512"/>
      <c r="K733" s="649"/>
      <c r="L733" s="518"/>
      <c r="M733" s="649"/>
      <c r="N733" s="518"/>
      <c r="O733" s="518"/>
    </row>
    <row r="734" spans="1:15">
      <c r="C734" s="508">
        <f>IF(D720="","-",+C733+1)</f>
        <v>2023</v>
      </c>
      <c r="D734" s="471">
        <f t="shared" si="44"/>
        <v>4567775.8333333358</v>
      </c>
      <c r="E734" s="515">
        <f t="shared" si="47"/>
        <v>130507.88095238095</v>
      </c>
      <c r="F734" s="471">
        <f t="shared" si="42"/>
        <v>4437267.9523809552</v>
      </c>
      <c r="G734" s="950">
        <f t="shared" si="45"/>
        <v>626593.59632452088</v>
      </c>
      <c r="H734" s="953">
        <f t="shared" si="46"/>
        <v>626593.59632452088</v>
      </c>
      <c r="I734" s="512">
        <f t="shared" si="43"/>
        <v>0</v>
      </c>
      <c r="J734" s="512"/>
      <c r="K734" s="649"/>
      <c r="L734" s="518"/>
      <c r="M734" s="649"/>
      <c r="N734" s="518"/>
      <c r="O734" s="518"/>
    </row>
    <row r="735" spans="1:15">
      <c r="C735" s="508">
        <f>IF(D720="","-",+C734+1)</f>
        <v>2024</v>
      </c>
      <c r="D735" s="471">
        <f t="shared" si="44"/>
        <v>4437267.9523809552</v>
      </c>
      <c r="E735" s="515">
        <f t="shared" si="47"/>
        <v>130507.88095238095</v>
      </c>
      <c r="F735" s="471">
        <f t="shared" si="42"/>
        <v>4306760.0714285746</v>
      </c>
      <c r="G735" s="950">
        <f t="shared" si="45"/>
        <v>612214.30022677768</v>
      </c>
      <c r="H735" s="953">
        <f t="shared" si="46"/>
        <v>612214.30022677768</v>
      </c>
      <c r="I735" s="512">
        <f t="shared" si="43"/>
        <v>0</v>
      </c>
      <c r="J735" s="512"/>
      <c r="K735" s="649"/>
      <c r="L735" s="518"/>
      <c r="M735" s="649"/>
      <c r="N735" s="518"/>
      <c r="O735" s="518"/>
    </row>
    <row r="736" spans="1:15">
      <c r="C736" s="508">
        <f>IF(D720="","-",+C735+1)</f>
        <v>2025</v>
      </c>
      <c r="D736" s="471">
        <f t="shared" si="44"/>
        <v>4306760.0714285746</v>
      </c>
      <c r="E736" s="515">
        <f t="shared" si="47"/>
        <v>130507.88095238095</v>
      </c>
      <c r="F736" s="471">
        <f t="shared" si="42"/>
        <v>4176252.1904761936</v>
      </c>
      <c r="G736" s="950">
        <f t="shared" si="45"/>
        <v>597835.00412903447</v>
      </c>
      <c r="H736" s="953">
        <f t="shared" si="46"/>
        <v>597835.00412903447</v>
      </c>
      <c r="I736" s="512">
        <f t="shared" si="43"/>
        <v>0</v>
      </c>
      <c r="J736" s="512"/>
      <c r="K736" s="649"/>
      <c r="L736" s="518"/>
      <c r="M736" s="649"/>
      <c r="N736" s="518"/>
      <c r="O736" s="518"/>
    </row>
    <row r="737" spans="3:15">
      <c r="C737" s="508">
        <f>IF(D720="","-",+C736+1)</f>
        <v>2026</v>
      </c>
      <c r="D737" s="471">
        <f t="shared" si="44"/>
        <v>4176252.1904761936</v>
      </c>
      <c r="E737" s="515">
        <f t="shared" si="47"/>
        <v>130507.88095238095</v>
      </c>
      <c r="F737" s="471">
        <f t="shared" si="42"/>
        <v>4045744.3095238125</v>
      </c>
      <c r="G737" s="950">
        <f t="shared" si="45"/>
        <v>583455.70803129137</v>
      </c>
      <c r="H737" s="953">
        <f t="shared" si="46"/>
        <v>583455.70803129137</v>
      </c>
      <c r="I737" s="512">
        <f t="shared" si="43"/>
        <v>0</v>
      </c>
      <c r="J737" s="512"/>
      <c r="K737" s="649"/>
      <c r="L737" s="518"/>
      <c r="M737" s="649"/>
      <c r="N737" s="518"/>
      <c r="O737" s="518"/>
    </row>
    <row r="738" spans="3:15">
      <c r="C738" s="508">
        <f>IF(D720="","-",+C737+1)</f>
        <v>2027</v>
      </c>
      <c r="D738" s="471">
        <f t="shared" si="44"/>
        <v>4045744.3095238125</v>
      </c>
      <c r="E738" s="515">
        <f t="shared" si="47"/>
        <v>130507.88095238095</v>
      </c>
      <c r="F738" s="471">
        <f t="shared" si="42"/>
        <v>3915236.4285714314</v>
      </c>
      <c r="G738" s="950">
        <f t="shared" si="45"/>
        <v>569076.41193354817</v>
      </c>
      <c r="H738" s="953">
        <f t="shared" si="46"/>
        <v>569076.41193354817</v>
      </c>
      <c r="I738" s="512">
        <f t="shared" si="43"/>
        <v>0</v>
      </c>
      <c r="J738" s="512"/>
      <c r="K738" s="649"/>
      <c r="L738" s="518"/>
      <c r="M738" s="649"/>
      <c r="N738" s="519"/>
      <c r="O738" s="518"/>
    </row>
    <row r="739" spans="3:15">
      <c r="C739" s="508">
        <f>IF(D720="","-",+C738+1)</f>
        <v>2028</v>
      </c>
      <c r="D739" s="471">
        <f t="shared" si="44"/>
        <v>3915236.4285714314</v>
      </c>
      <c r="E739" s="515">
        <f t="shared" si="47"/>
        <v>130507.88095238095</v>
      </c>
      <c r="F739" s="471">
        <f t="shared" si="42"/>
        <v>3784728.5476190504</v>
      </c>
      <c r="G739" s="950">
        <f t="shared" si="45"/>
        <v>554697.11583580496</v>
      </c>
      <c r="H739" s="953">
        <f t="shared" si="46"/>
        <v>554697.11583580496</v>
      </c>
      <c r="I739" s="512">
        <f t="shared" si="43"/>
        <v>0</v>
      </c>
      <c r="J739" s="512"/>
      <c r="K739" s="649"/>
      <c r="L739" s="518"/>
      <c r="M739" s="649"/>
      <c r="N739" s="518"/>
      <c r="O739" s="518"/>
    </row>
    <row r="740" spans="3:15">
      <c r="C740" s="508">
        <f>IF(D720="","-",+C739+1)</f>
        <v>2029</v>
      </c>
      <c r="D740" s="471">
        <f t="shared" si="44"/>
        <v>3784728.5476190504</v>
      </c>
      <c r="E740" s="515">
        <f t="shared" si="47"/>
        <v>130507.88095238095</v>
      </c>
      <c r="F740" s="471">
        <f t="shared" si="42"/>
        <v>3654220.6666666693</v>
      </c>
      <c r="G740" s="950">
        <f t="shared" si="45"/>
        <v>540317.81973806187</v>
      </c>
      <c r="H740" s="953">
        <f t="shared" si="46"/>
        <v>540317.81973806187</v>
      </c>
      <c r="I740" s="512">
        <f t="shared" si="43"/>
        <v>0</v>
      </c>
      <c r="J740" s="512"/>
      <c r="K740" s="649"/>
      <c r="L740" s="518"/>
      <c r="M740" s="649"/>
      <c r="N740" s="518"/>
      <c r="O740" s="518"/>
    </row>
    <row r="741" spans="3:15">
      <c r="C741" s="508">
        <f>IF(D720="","-",+C740+1)</f>
        <v>2030</v>
      </c>
      <c r="D741" s="471">
        <f t="shared" si="44"/>
        <v>3654220.6666666693</v>
      </c>
      <c r="E741" s="515">
        <f t="shared" si="47"/>
        <v>130507.88095238095</v>
      </c>
      <c r="F741" s="471">
        <f t="shared" si="42"/>
        <v>3523712.7857142882</v>
      </c>
      <c r="G741" s="950">
        <f t="shared" si="45"/>
        <v>525938.52364031854</v>
      </c>
      <c r="H741" s="953">
        <f t="shared" si="46"/>
        <v>525938.52364031854</v>
      </c>
      <c r="I741" s="512">
        <f t="shared" si="43"/>
        <v>0</v>
      </c>
      <c r="J741" s="512"/>
      <c r="K741" s="649"/>
      <c r="L741" s="518"/>
      <c r="M741" s="649"/>
      <c r="N741" s="518"/>
      <c r="O741" s="518"/>
    </row>
    <row r="742" spans="3:15">
      <c r="C742" s="508">
        <f>IF(D720="","-",+C741+1)</f>
        <v>2031</v>
      </c>
      <c r="D742" s="471">
        <f t="shared" si="44"/>
        <v>3523712.7857142882</v>
      </c>
      <c r="E742" s="515">
        <f t="shared" si="47"/>
        <v>130507.88095238095</v>
      </c>
      <c r="F742" s="471">
        <f t="shared" si="42"/>
        <v>3393204.9047619072</v>
      </c>
      <c r="G742" s="950">
        <f t="shared" si="45"/>
        <v>511559.22754257539</v>
      </c>
      <c r="H742" s="953">
        <f t="shared" si="46"/>
        <v>511559.22754257539</v>
      </c>
      <c r="I742" s="512">
        <f t="shared" si="43"/>
        <v>0</v>
      </c>
      <c r="J742" s="512"/>
      <c r="K742" s="649"/>
      <c r="L742" s="518"/>
      <c r="M742" s="649"/>
      <c r="N742" s="518"/>
      <c r="O742" s="518"/>
    </row>
    <row r="743" spans="3:15">
      <c r="C743" s="508">
        <f>IF(D720="","-",+C742+1)</f>
        <v>2032</v>
      </c>
      <c r="D743" s="471">
        <f t="shared" si="44"/>
        <v>3393204.9047619072</v>
      </c>
      <c r="E743" s="515">
        <f t="shared" si="47"/>
        <v>130507.88095238095</v>
      </c>
      <c r="F743" s="471">
        <f t="shared" si="42"/>
        <v>3262697.0238095261</v>
      </c>
      <c r="G743" s="950">
        <f t="shared" si="45"/>
        <v>497179.93144483218</v>
      </c>
      <c r="H743" s="953">
        <f t="shared" si="46"/>
        <v>497179.93144483218</v>
      </c>
      <c r="I743" s="512">
        <f t="shared" si="43"/>
        <v>0</v>
      </c>
      <c r="J743" s="512"/>
      <c r="K743" s="649"/>
      <c r="L743" s="518"/>
      <c r="M743" s="649"/>
      <c r="N743" s="518"/>
      <c r="O743" s="518"/>
    </row>
    <row r="744" spans="3:15">
      <c r="C744" s="508">
        <f>IF(D720="","-",+C743+1)</f>
        <v>2033</v>
      </c>
      <c r="D744" s="471">
        <f t="shared" si="44"/>
        <v>3262697.0238095261</v>
      </c>
      <c r="E744" s="515">
        <f t="shared" si="47"/>
        <v>130507.88095238095</v>
      </c>
      <c r="F744" s="471">
        <f t="shared" si="42"/>
        <v>3132189.1428571451</v>
      </c>
      <c r="G744" s="950">
        <f t="shared" si="45"/>
        <v>482800.63534708903</v>
      </c>
      <c r="H744" s="953">
        <f t="shared" si="46"/>
        <v>482800.63534708903</v>
      </c>
      <c r="I744" s="512">
        <f t="shared" si="43"/>
        <v>0</v>
      </c>
      <c r="J744" s="512"/>
      <c r="K744" s="649"/>
      <c r="L744" s="518"/>
      <c r="M744" s="649"/>
      <c r="N744" s="518"/>
      <c r="O744" s="518"/>
    </row>
    <row r="745" spans="3:15">
      <c r="C745" s="508">
        <f>IF(D720="","-",+C744+1)</f>
        <v>2034</v>
      </c>
      <c r="D745" s="471">
        <f t="shared" si="44"/>
        <v>3132189.1428571451</v>
      </c>
      <c r="E745" s="515">
        <f t="shared" si="47"/>
        <v>130507.88095238095</v>
      </c>
      <c r="F745" s="471">
        <f t="shared" si="42"/>
        <v>3001681.261904764</v>
      </c>
      <c r="G745" s="950">
        <f t="shared" si="45"/>
        <v>468421.33924934576</v>
      </c>
      <c r="H745" s="953">
        <f t="shared" si="46"/>
        <v>468421.33924934576</v>
      </c>
      <c r="I745" s="512">
        <f t="shared" si="43"/>
        <v>0</v>
      </c>
      <c r="J745" s="512"/>
      <c r="K745" s="649"/>
      <c r="L745" s="518"/>
      <c r="M745" s="649"/>
      <c r="N745" s="518"/>
      <c r="O745" s="518"/>
    </row>
    <row r="746" spans="3:15">
      <c r="C746" s="508">
        <f>IF(D720="","-",+C745+1)</f>
        <v>2035</v>
      </c>
      <c r="D746" s="471">
        <f t="shared" si="44"/>
        <v>3001681.261904764</v>
      </c>
      <c r="E746" s="515">
        <f t="shared" si="47"/>
        <v>130507.88095238095</v>
      </c>
      <c r="F746" s="471">
        <f t="shared" si="42"/>
        <v>2871173.3809523829</v>
      </c>
      <c r="G746" s="950">
        <f t="shared" si="45"/>
        <v>454042.04315160267</v>
      </c>
      <c r="H746" s="953">
        <f t="shared" si="46"/>
        <v>454042.04315160267</v>
      </c>
      <c r="I746" s="512">
        <f t="shared" si="43"/>
        <v>0</v>
      </c>
      <c r="J746" s="512"/>
      <c r="K746" s="649"/>
      <c r="L746" s="518"/>
      <c r="M746" s="649"/>
      <c r="N746" s="518"/>
      <c r="O746" s="518"/>
    </row>
    <row r="747" spans="3:15">
      <c r="C747" s="508">
        <f>IF(D720="","-",+C746+1)</f>
        <v>2036</v>
      </c>
      <c r="D747" s="471">
        <f t="shared" si="44"/>
        <v>2871173.3809523829</v>
      </c>
      <c r="E747" s="515">
        <f t="shared" si="47"/>
        <v>130507.88095238095</v>
      </c>
      <c r="F747" s="471">
        <f t="shared" si="42"/>
        <v>2740665.5000000019</v>
      </c>
      <c r="G747" s="950">
        <f t="shared" si="45"/>
        <v>439662.74705385941</v>
      </c>
      <c r="H747" s="953">
        <f t="shared" si="46"/>
        <v>439662.74705385941</v>
      </c>
      <c r="I747" s="512">
        <f t="shared" si="43"/>
        <v>0</v>
      </c>
      <c r="J747" s="512"/>
      <c r="K747" s="649"/>
      <c r="L747" s="518"/>
      <c r="M747" s="649"/>
      <c r="N747" s="518"/>
      <c r="O747" s="518"/>
    </row>
    <row r="748" spans="3:15">
      <c r="C748" s="508">
        <f>IF(D720="","-",+C747+1)</f>
        <v>2037</v>
      </c>
      <c r="D748" s="471">
        <f t="shared" si="44"/>
        <v>2740665.5000000019</v>
      </c>
      <c r="E748" s="515">
        <f t="shared" si="47"/>
        <v>130507.88095238095</v>
      </c>
      <c r="F748" s="471">
        <f t="shared" si="42"/>
        <v>2610157.6190476208</v>
      </c>
      <c r="G748" s="950">
        <f t="shared" si="45"/>
        <v>425283.45095611626</v>
      </c>
      <c r="H748" s="953">
        <f t="shared" si="46"/>
        <v>425283.45095611626</v>
      </c>
      <c r="I748" s="512">
        <f t="shared" si="43"/>
        <v>0</v>
      </c>
      <c r="J748" s="512"/>
      <c r="K748" s="649"/>
      <c r="L748" s="518"/>
      <c r="M748" s="649"/>
      <c r="N748" s="518"/>
      <c r="O748" s="518"/>
    </row>
    <row r="749" spans="3:15">
      <c r="C749" s="508">
        <f>IF(D720="","-",+C748+1)</f>
        <v>2038</v>
      </c>
      <c r="D749" s="471">
        <f t="shared" si="44"/>
        <v>2610157.6190476208</v>
      </c>
      <c r="E749" s="515">
        <f t="shared" si="47"/>
        <v>130507.88095238095</v>
      </c>
      <c r="F749" s="471">
        <f t="shared" si="42"/>
        <v>2479649.7380952397</v>
      </c>
      <c r="G749" s="950">
        <f t="shared" si="45"/>
        <v>410904.15485837305</v>
      </c>
      <c r="H749" s="953">
        <f t="shared" si="46"/>
        <v>410904.15485837305</v>
      </c>
      <c r="I749" s="512">
        <f t="shared" si="43"/>
        <v>0</v>
      </c>
      <c r="J749" s="512"/>
      <c r="K749" s="649"/>
      <c r="L749" s="518"/>
      <c r="M749" s="649"/>
      <c r="N749" s="518"/>
      <c r="O749" s="518"/>
    </row>
    <row r="750" spans="3:15">
      <c r="C750" s="508">
        <f>IF(D720="","-",+C749+1)</f>
        <v>2039</v>
      </c>
      <c r="D750" s="471">
        <f t="shared" si="44"/>
        <v>2479649.7380952397</v>
      </c>
      <c r="E750" s="515">
        <f t="shared" si="47"/>
        <v>130507.88095238095</v>
      </c>
      <c r="F750" s="471">
        <f t="shared" si="42"/>
        <v>2349141.8571428587</v>
      </c>
      <c r="G750" s="950">
        <f t="shared" si="45"/>
        <v>396524.8587606299</v>
      </c>
      <c r="H750" s="953">
        <f t="shared" si="46"/>
        <v>396524.8587606299</v>
      </c>
      <c r="I750" s="512">
        <f t="shared" si="43"/>
        <v>0</v>
      </c>
      <c r="J750" s="512"/>
      <c r="K750" s="649"/>
      <c r="L750" s="518"/>
      <c r="M750" s="649"/>
      <c r="N750" s="518"/>
      <c r="O750" s="518"/>
    </row>
    <row r="751" spans="3:15">
      <c r="C751" s="508">
        <f>IF(D720="","-",+C750+1)</f>
        <v>2040</v>
      </c>
      <c r="D751" s="471">
        <f t="shared" si="44"/>
        <v>2349141.8571428587</v>
      </c>
      <c r="E751" s="515">
        <f t="shared" si="47"/>
        <v>130507.88095238095</v>
      </c>
      <c r="F751" s="471">
        <f t="shared" si="42"/>
        <v>2218633.9761904776</v>
      </c>
      <c r="G751" s="950">
        <f t="shared" si="45"/>
        <v>382145.56266288669</v>
      </c>
      <c r="H751" s="953">
        <f t="shared" si="46"/>
        <v>382145.56266288669</v>
      </c>
      <c r="I751" s="512">
        <f t="shared" si="43"/>
        <v>0</v>
      </c>
      <c r="J751" s="512"/>
      <c r="K751" s="649"/>
      <c r="L751" s="518"/>
      <c r="M751" s="649"/>
      <c r="N751" s="518"/>
      <c r="O751" s="518"/>
    </row>
    <row r="752" spans="3:15">
      <c r="C752" s="508">
        <f>IF(D720="","-",+C751+1)</f>
        <v>2041</v>
      </c>
      <c r="D752" s="471">
        <f t="shared" si="44"/>
        <v>2218633.9761904776</v>
      </c>
      <c r="E752" s="515">
        <f t="shared" si="47"/>
        <v>130507.88095238095</v>
      </c>
      <c r="F752" s="471">
        <f t="shared" si="42"/>
        <v>2088126.0952380965</v>
      </c>
      <c r="G752" s="950">
        <f t="shared" si="45"/>
        <v>367766.26656514354</v>
      </c>
      <c r="H752" s="953">
        <f t="shared" si="46"/>
        <v>367766.26656514354</v>
      </c>
      <c r="I752" s="512">
        <f t="shared" si="43"/>
        <v>0</v>
      </c>
      <c r="J752" s="512"/>
      <c r="K752" s="649"/>
      <c r="L752" s="518"/>
      <c r="M752" s="649"/>
      <c r="N752" s="518"/>
      <c r="O752" s="518"/>
    </row>
    <row r="753" spans="3:15">
      <c r="C753" s="508">
        <f>IF(D720="","-",+C752+1)</f>
        <v>2042</v>
      </c>
      <c r="D753" s="471">
        <f t="shared" si="44"/>
        <v>2088126.0952380965</v>
      </c>
      <c r="E753" s="515">
        <f t="shared" si="47"/>
        <v>130507.88095238095</v>
      </c>
      <c r="F753" s="471">
        <f t="shared" si="42"/>
        <v>1957618.2142857155</v>
      </c>
      <c r="G753" s="950">
        <f t="shared" si="45"/>
        <v>353386.97046740027</v>
      </c>
      <c r="H753" s="953">
        <f t="shared" si="46"/>
        <v>353386.97046740027</v>
      </c>
      <c r="I753" s="512">
        <f t="shared" si="43"/>
        <v>0</v>
      </c>
      <c r="J753" s="512"/>
      <c r="K753" s="649"/>
      <c r="L753" s="518"/>
      <c r="M753" s="649"/>
      <c r="N753" s="518"/>
      <c r="O753" s="518"/>
    </row>
    <row r="754" spans="3:15">
      <c r="C754" s="508">
        <f>IF(D720="","-",+C753+1)</f>
        <v>2043</v>
      </c>
      <c r="D754" s="471">
        <f t="shared" si="44"/>
        <v>1957618.2142857155</v>
      </c>
      <c r="E754" s="515">
        <f t="shared" si="47"/>
        <v>130507.88095238095</v>
      </c>
      <c r="F754" s="471">
        <f t="shared" si="42"/>
        <v>1827110.3333333344</v>
      </c>
      <c r="G754" s="959">
        <f t="shared" si="45"/>
        <v>339007.67436965712</v>
      </c>
      <c r="H754" s="953">
        <f t="shared" si="46"/>
        <v>339007.67436965712</v>
      </c>
      <c r="I754" s="512">
        <f t="shared" si="43"/>
        <v>0</v>
      </c>
      <c r="J754" s="512"/>
      <c r="K754" s="649"/>
      <c r="L754" s="518"/>
      <c r="M754" s="649"/>
      <c r="N754" s="518"/>
      <c r="O754" s="518"/>
    </row>
    <row r="755" spans="3:15">
      <c r="C755" s="508">
        <f>IF(D720="","-",+C754+1)</f>
        <v>2044</v>
      </c>
      <c r="D755" s="471">
        <f t="shared" si="44"/>
        <v>1827110.3333333344</v>
      </c>
      <c r="E755" s="515">
        <f t="shared" si="47"/>
        <v>130507.88095238095</v>
      </c>
      <c r="F755" s="471">
        <f t="shared" si="42"/>
        <v>1696602.4523809534</v>
      </c>
      <c r="G755" s="950">
        <f t="shared" si="45"/>
        <v>324628.37827191397</v>
      </c>
      <c r="H755" s="953">
        <f t="shared" si="46"/>
        <v>324628.37827191397</v>
      </c>
      <c r="I755" s="512">
        <f t="shared" si="43"/>
        <v>0</v>
      </c>
      <c r="J755" s="512"/>
      <c r="K755" s="649"/>
      <c r="L755" s="518"/>
      <c r="M755" s="649"/>
      <c r="N755" s="518"/>
      <c r="O755" s="518"/>
    </row>
    <row r="756" spans="3:15">
      <c r="C756" s="508">
        <f>IF(D720="","-",+C755+1)</f>
        <v>2045</v>
      </c>
      <c r="D756" s="471">
        <f t="shared" si="44"/>
        <v>1696602.4523809534</v>
      </c>
      <c r="E756" s="515">
        <f t="shared" si="47"/>
        <v>130507.88095238095</v>
      </c>
      <c r="F756" s="471">
        <f t="shared" si="42"/>
        <v>1566094.5714285723</v>
      </c>
      <c r="G756" s="950">
        <f t="shared" si="45"/>
        <v>310249.08217417076</v>
      </c>
      <c r="H756" s="953">
        <f t="shared" si="46"/>
        <v>310249.08217417076</v>
      </c>
      <c r="I756" s="512">
        <f t="shared" si="43"/>
        <v>0</v>
      </c>
      <c r="J756" s="512"/>
      <c r="K756" s="649"/>
      <c r="L756" s="518"/>
      <c r="M756" s="649"/>
      <c r="N756" s="518"/>
      <c r="O756" s="518"/>
    </row>
    <row r="757" spans="3:15">
      <c r="C757" s="508">
        <f>IF(D720="","-",+C756+1)</f>
        <v>2046</v>
      </c>
      <c r="D757" s="471">
        <f t="shared" si="44"/>
        <v>1566094.5714285723</v>
      </c>
      <c r="E757" s="515">
        <f t="shared" si="47"/>
        <v>130507.88095238095</v>
      </c>
      <c r="F757" s="471">
        <f t="shared" si="42"/>
        <v>1435586.6904761912</v>
      </c>
      <c r="G757" s="950">
        <f t="shared" si="45"/>
        <v>295869.78607642755</v>
      </c>
      <c r="H757" s="953">
        <f t="shared" si="46"/>
        <v>295869.78607642755</v>
      </c>
      <c r="I757" s="512">
        <f t="shared" si="43"/>
        <v>0</v>
      </c>
      <c r="J757" s="512"/>
      <c r="K757" s="649"/>
      <c r="L757" s="518"/>
      <c r="M757" s="649"/>
      <c r="N757" s="518"/>
      <c r="O757" s="518"/>
    </row>
    <row r="758" spans="3:15">
      <c r="C758" s="508">
        <f>IF(D720="","-",+C757+1)</f>
        <v>2047</v>
      </c>
      <c r="D758" s="471">
        <f t="shared" si="44"/>
        <v>1435586.6904761912</v>
      </c>
      <c r="E758" s="515">
        <f t="shared" si="47"/>
        <v>130507.88095238095</v>
      </c>
      <c r="F758" s="471">
        <f t="shared" si="42"/>
        <v>1305078.8095238102</v>
      </c>
      <c r="G758" s="950">
        <f t="shared" si="45"/>
        <v>281490.48997868435</v>
      </c>
      <c r="H758" s="953">
        <f t="shared" si="46"/>
        <v>281490.48997868435</v>
      </c>
      <c r="I758" s="512">
        <f t="shared" si="43"/>
        <v>0</v>
      </c>
      <c r="J758" s="512"/>
      <c r="K758" s="649"/>
      <c r="L758" s="518"/>
      <c r="M758" s="649"/>
      <c r="N758" s="518"/>
      <c r="O758" s="518"/>
    </row>
    <row r="759" spans="3:15">
      <c r="C759" s="508">
        <f>IF(D720="","-",+C758+1)</f>
        <v>2048</v>
      </c>
      <c r="D759" s="471">
        <f t="shared" si="44"/>
        <v>1305078.8095238102</v>
      </c>
      <c r="E759" s="515">
        <f t="shared" si="47"/>
        <v>130507.88095238095</v>
      </c>
      <c r="F759" s="471">
        <f t="shared" si="42"/>
        <v>1174570.9285714291</v>
      </c>
      <c r="G759" s="950">
        <f t="shared" si="45"/>
        <v>267111.19388094119</v>
      </c>
      <c r="H759" s="953">
        <f t="shared" si="46"/>
        <v>267111.19388094119</v>
      </c>
      <c r="I759" s="512">
        <f t="shared" si="43"/>
        <v>0</v>
      </c>
      <c r="J759" s="512"/>
      <c r="K759" s="649"/>
      <c r="L759" s="518"/>
      <c r="M759" s="649"/>
      <c r="N759" s="518"/>
      <c r="O759" s="518"/>
    </row>
    <row r="760" spans="3:15">
      <c r="C760" s="508">
        <f>IF(D720="","-",+C759+1)</f>
        <v>2049</v>
      </c>
      <c r="D760" s="471">
        <f t="shared" si="44"/>
        <v>1174570.9285714291</v>
      </c>
      <c r="E760" s="515">
        <f t="shared" si="47"/>
        <v>130507.88095238095</v>
      </c>
      <c r="F760" s="471">
        <f t="shared" si="42"/>
        <v>1044063.0476190482</v>
      </c>
      <c r="G760" s="950">
        <f t="shared" si="45"/>
        <v>252731.89778319799</v>
      </c>
      <c r="H760" s="953">
        <f t="shared" si="46"/>
        <v>252731.89778319799</v>
      </c>
      <c r="I760" s="512">
        <f t="shared" si="43"/>
        <v>0</v>
      </c>
      <c r="J760" s="512"/>
      <c r="K760" s="649"/>
      <c r="L760" s="518"/>
      <c r="M760" s="649"/>
      <c r="N760" s="518"/>
      <c r="O760" s="518"/>
    </row>
    <row r="761" spans="3:15">
      <c r="C761" s="508">
        <f>IF(D720="","-",+C760+1)</f>
        <v>2050</v>
      </c>
      <c r="D761" s="471">
        <f t="shared" si="44"/>
        <v>1044063.0476190482</v>
      </c>
      <c r="E761" s="515">
        <f t="shared" si="47"/>
        <v>130507.88095238095</v>
      </c>
      <c r="F761" s="471">
        <f t="shared" si="42"/>
        <v>913555.16666666721</v>
      </c>
      <c r="G761" s="950">
        <f t="shared" si="45"/>
        <v>238352.60168545484</v>
      </c>
      <c r="H761" s="953">
        <f t="shared" si="46"/>
        <v>238352.60168545484</v>
      </c>
      <c r="I761" s="512">
        <f t="shared" si="43"/>
        <v>0</v>
      </c>
      <c r="J761" s="512"/>
      <c r="K761" s="649"/>
      <c r="L761" s="518"/>
      <c r="M761" s="649"/>
      <c r="N761" s="518"/>
      <c r="O761" s="518"/>
    </row>
    <row r="762" spans="3:15">
      <c r="C762" s="508">
        <f>IF(D720="","-",+C761+1)</f>
        <v>2051</v>
      </c>
      <c r="D762" s="471">
        <f t="shared" si="44"/>
        <v>913555.16666666721</v>
      </c>
      <c r="E762" s="515">
        <f t="shared" si="47"/>
        <v>130507.88095238095</v>
      </c>
      <c r="F762" s="471">
        <f t="shared" si="42"/>
        <v>783047.28571428626</v>
      </c>
      <c r="G762" s="950">
        <f t="shared" si="45"/>
        <v>223973.30558771163</v>
      </c>
      <c r="H762" s="953">
        <f t="shared" si="46"/>
        <v>223973.30558771163</v>
      </c>
      <c r="I762" s="512">
        <f t="shared" si="43"/>
        <v>0</v>
      </c>
      <c r="J762" s="512"/>
      <c r="K762" s="649"/>
      <c r="L762" s="518"/>
      <c r="M762" s="649"/>
      <c r="N762" s="518"/>
      <c r="O762" s="518"/>
    </row>
    <row r="763" spans="3:15">
      <c r="C763" s="508">
        <f>IF(D720="","-",+C762+1)</f>
        <v>2052</v>
      </c>
      <c r="D763" s="471">
        <f t="shared" si="44"/>
        <v>783047.28571428626</v>
      </c>
      <c r="E763" s="515">
        <f t="shared" si="47"/>
        <v>130507.88095238095</v>
      </c>
      <c r="F763" s="471">
        <f t="shared" si="42"/>
        <v>652539.40476190532</v>
      </c>
      <c r="G763" s="950">
        <f t="shared" si="45"/>
        <v>209594.00948996848</v>
      </c>
      <c r="H763" s="953">
        <f t="shared" si="46"/>
        <v>209594.00948996848</v>
      </c>
      <c r="I763" s="512">
        <f t="shared" si="43"/>
        <v>0</v>
      </c>
      <c r="J763" s="512"/>
      <c r="K763" s="649"/>
      <c r="L763" s="518"/>
      <c r="M763" s="649"/>
      <c r="N763" s="518"/>
      <c r="O763" s="518"/>
    </row>
    <row r="764" spans="3:15">
      <c r="C764" s="508">
        <f>IF(D720="","-",+C763+1)</f>
        <v>2053</v>
      </c>
      <c r="D764" s="471">
        <f t="shared" si="44"/>
        <v>652539.40476190532</v>
      </c>
      <c r="E764" s="515">
        <f t="shared" si="47"/>
        <v>130507.88095238095</v>
      </c>
      <c r="F764" s="471">
        <f t="shared" si="42"/>
        <v>522031.52380952437</v>
      </c>
      <c r="G764" s="950">
        <f t="shared" si="45"/>
        <v>195214.7133922253</v>
      </c>
      <c r="H764" s="953">
        <f t="shared" si="46"/>
        <v>195214.7133922253</v>
      </c>
      <c r="I764" s="512">
        <f t="shared" si="43"/>
        <v>0</v>
      </c>
      <c r="J764" s="512"/>
      <c r="K764" s="649"/>
      <c r="L764" s="518"/>
      <c r="M764" s="649"/>
      <c r="N764" s="518"/>
      <c r="O764" s="518"/>
    </row>
    <row r="765" spans="3:15">
      <c r="C765" s="508">
        <f>IF(D720="","-",+C764+1)</f>
        <v>2054</v>
      </c>
      <c r="D765" s="471">
        <f t="shared" si="44"/>
        <v>522031.52380952437</v>
      </c>
      <c r="E765" s="515">
        <f t="shared" si="47"/>
        <v>130507.88095238095</v>
      </c>
      <c r="F765" s="471">
        <f t="shared" si="42"/>
        <v>391523.64285714342</v>
      </c>
      <c r="G765" s="950">
        <f t="shared" si="45"/>
        <v>180835.41729448212</v>
      </c>
      <c r="H765" s="953">
        <f t="shared" si="46"/>
        <v>180835.41729448212</v>
      </c>
      <c r="I765" s="512">
        <f t="shared" si="43"/>
        <v>0</v>
      </c>
      <c r="J765" s="512"/>
      <c r="K765" s="649"/>
      <c r="L765" s="518"/>
      <c r="M765" s="649"/>
      <c r="N765" s="518"/>
      <c r="O765" s="518"/>
    </row>
    <row r="766" spans="3:15">
      <c r="C766" s="508">
        <f>IF(D720="","-",+C765+1)</f>
        <v>2055</v>
      </c>
      <c r="D766" s="471">
        <f t="shared" si="44"/>
        <v>391523.64285714342</v>
      </c>
      <c r="E766" s="515">
        <f t="shared" si="47"/>
        <v>130507.88095238095</v>
      </c>
      <c r="F766" s="471">
        <f t="shared" si="42"/>
        <v>261015.76190476248</v>
      </c>
      <c r="G766" s="950">
        <f t="shared" si="45"/>
        <v>166456.12119673894</v>
      </c>
      <c r="H766" s="953">
        <f t="shared" si="46"/>
        <v>166456.12119673894</v>
      </c>
      <c r="I766" s="512">
        <f t="shared" si="43"/>
        <v>0</v>
      </c>
      <c r="J766" s="512"/>
      <c r="K766" s="649"/>
      <c r="L766" s="518"/>
      <c r="M766" s="649"/>
      <c r="N766" s="518"/>
      <c r="O766" s="518"/>
    </row>
    <row r="767" spans="3:15">
      <c r="C767" s="508">
        <f>IF(D720="","-",+C766+1)</f>
        <v>2056</v>
      </c>
      <c r="D767" s="471">
        <f t="shared" si="44"/>
        <v>261015.76190476248</v>
      </c>
      <c r="E767" s="515">
        <f t="shared" si="47"/>
        <v>130507.88095238095</v>
      </c>
      <c r="F767" s="471">
        <f t="shared" si="42"/>
        <v>130507.88095238153</v>
      </c>
      <c r="G767" s="950">
        <f t="shared" si="45"/>
        <v>152076.82509899576</v>
      </c>
      <c r="H767" s="953">
        <f t="shared" si="46"/>
        <v>152076.82509899576</v>
      </c>
      <c r="I767" s="512">
        <f t="shared" si="43"/>
        <v>0</v>
      </c>
      <c r="J767" s="512"/>
      <c r="K767" s="649"/>
      <c r="L767" s="518"/>
      <c r="M767" s="649"/>
      <c r="N767" s="518"/>
      <c r="O767" s="518"/>
    </row>
    <row r="768" spans="3:15">
      <c r="C768" s="508">
        <f>IF(D720="","-",+C767+1)</f>
        <v>2057</v>
      </c>
      <c r="D768" s="471">
        <f t="shared" si="44"/>
        <v>130507.88095238153</v>
      </c>
      <c r="E768" s="515">
        <f t="shared" si="47"/>
        <v>130507.88095238095</v>
      </c>
      <c r="F768" s="471">
        <f t="shared" si="42"/>
        <v>5.8207660913467407E-10</v>
      </c>
      <c r="G768" s="950">
        <f t="shared" si="45"/>
        <v>137697.52900125261</v>
      </c>
      <c r="H768" s="953">
        <f t="shared" si="46"/>
        <v>137697.52900125261</v>
      </c>
      <c r="I768" s="512">
        <f t="shared" si="43"/>
        <v>0</v>
      </c>
      <c r="J768" s="512"/>
      <c r="K768" s="649"/>
      <c r="L768" s="518"/>
      <c r="M768" s="649"/>
      <c r="N768" s="518"/>
      <c r="O768" s="518"/>
    </row>
    <row r="769" spans="3:15">
      <c r="C769" s="508">
        <f>IF(D720="","-",+C768+1)</f>
        <v>2058</v>
      </c>
      <c r="D769" s="471">
        <f t="shared" si="44"/>
        <v>5.8207660913467407E-10</v>
      </c>
      <c r="E769" s="515">
        <f t="shared" si="47"/>
        <v>5.8207660913467407E-10</v>
      </c>
      <c r="F769" s="471">
        <f t="shared" si="42"/>
        <v>0</v>
      </c>
      <c r="G769" s="950">
        <f t="shared" si="45"/>
        <v>6.1414307076610515E-10</v>
      </c>
      <c r="H769" s="953">
        <f t="shared" si="46"/>
        <v>6.1414307076610515E-10</v>
      </c>
      <c r="I769" s="512">
        <f t="shared" si="43"/>
        <v>0</v>
      </c>
      <c r="J769" s="512"/>
      <c r="K769" s="649"/>
      <c r="L769" s="518"/>
      <c r="M769" s="649"/>
      <c r="N769" s="518"/>
      <c r="O769" s="518"/>
    </row>
    <row r="770" spans="3:15">
      <c r="C770" s="508">
        <f>IF(D720="","-",+C769+1)</f>
        <v>2059</v>
      </c>
      <c r="D770" s="471">
        <f t="shared" si="44"/>
        <v>0</v>
      </c>
      <c r="E770" s="515">
        <f t="shared" si="47"/>
        <v>0</v>
      </c>
      <c r="F770" s="471">
        <f t="shared" si="42"/>
        <v>0</v>
      </c>
      <c r="G770" s="950">
        <f t="shared" si="45"/>
        <v>0</v>
      </c>
      <c r="H770" s="953">
        <f t="shared" si="46"/>
        <v>0</v>
      </c>
      <c r="I770" s="512">
        <f t="shared" si="43"/>
        <v>0</v>
      </c>
      <c r="J770" s="512"/>
      <c r="K770" s="649"/>
      <c r="L770" s="518"/>
      <c r="M770" s="649"/>
      <c r="N770" s="518"/>
      <c r="O770" s="518"/>
    </row>
    <row r="771" spans="3:15">
      <c r="C771" s="508">
        <f>IF(D720="","-",+C770+1)</f>
        <v>2060</v>
      </c>
      <c r="D771" s="471">
        <f t="shared" si="44"/>
        <v>0</v>
      </c>
      <c r="E771" s="515">
        <f t="shared" si="47"/>
        <v>0</v>
      </c>
      <c r="F771" s="471">
        <f t="shared" si="42"/>
        <v>0</v>
      </c>
      <c r="G771" s="950">
        <f t="shared" si="45"/>
        <v>0</v>
      </c>
      <c r="H771" s="953">
        <f t="shared" si="46"/>
        <v>0</v>
      </c>
      <c r="I771" s="512">
        <f t="shared" si="43"/>
        <v>0</v>
      </c>
      <c r="J771" s="512"/>
      <c r="K771" s="649"/>
      <c r="L771" s="518"/>
      <c r="M771" s="649"/>
      <c r="N771" s="518"/>
      <c r="O771" s="518"/>
    </row>
    <row r="772" spans="3:15">
      <c r="C772" s="508">
        <f>IF(D720="","-",+C771+1)</f>
        <v>2061</v>
      </c>
      <c r="D772" s="471">
        <f t="shared" si="44"/>
        <v>0</v>
      </c>
      <c r="E772" s="515">
        <f t="shared" si="47"/>
        <v>0</v>
      </c>
      <c r="F772" s="471">
        <f t="shared" si="42"/>
        <v>0</v>
      </c>
      <c r="G772" s="950">
        <f t="shared" si="45"/>
        <v>0</v>
      </c>
      <c r="H772" s="953">
        <f t="shared" si="46"/>
        <v>0</v>
      </c>
      <c r="I772" s="512">
        <f t="shared" si="43"/>
        <v>0</v>
      </c>
      <c r="J772" s="512"/>
      <c r="K772" s="649"/>
      <c r="L772" s="518"/>
      <c r="M772" s="649"/>
      <c r="N772" s="518"/>
      <c r="O772" s="518"/>
    </row>
    <row r="773" spans="3:15">
      <c r="C773" s="508">
        <f>IF(D720="","-",+C772+1)</f>
        <v>2062</v>
      </c>
      <c r="D773" s="471">
        <f t="shared" si="44"/>
        <v>0</v>
      </c>
      <c r="E773" s="515">
        <f t="shared" si="47"/>
        <v>0</v>
      </c>
      <c r="F773" s="471">
        <f t="shared" si="42"/>
        <v>0</v>
      </c>
      <c r="G773" s="950">
        <f t="shared" si="45"/>
        <v>0</v>
      </c>
      <c r="H773" s="953">
        <f t="shared" si="46"/>
        <v>0</v>
      </c>
      <c r="I773" s="512">
        <f t="shared" si="43"/>
        <v>0</v>
      </c>
      <c r="J773" s="512"/>
      <c r="K773" s="649"/>
      <c r="L773" s="518"/>
      <c r="M773" s="649"/>
      <c r="N773" s="518"/>
      <c r="O773" s="518"/>
    </row>
    <row r="774" spans="3:15">
      <c r="C774" s="508">
        <f>IF(D720="","-",+C773+1)</f>
        <v>2063</v>
      </c>
      <c r="D774" s="471">
        <f t="shared" si="44"/>
        <v>0</v>
      </c>
      <c r="E774" s="515">
        <f t="shared" si="47"/>
        <v>0</v>
      </c>
      <c r="F774" s="471">
        <f t="shared" si="42"/>
        <v>0</v>
      </c>
      <c r="G774" s="950">
        <f t="shared" si="45"/>
        <v>0</v>
      </c>
      <c r="H774" s="953">
        <f t="shared" si="46"/>
        <v>0</v>
      </c>
      <c r="I774" s="512">
        <f t="shared" si="43"/>
        <v>0</v>
      </c>
      <c r="J774" s="512"/>
      <c r="K774" s="649"/>
      <c r="L774" s="518"/>
      <c r="M774" s="649"/>
      <c r="N774" s="518"/>
      <c r="O774" s="518"/>
    </row>
    <row r="775" spans="3:15">
      <c r="C775" s="508">
        <f>IF(D720="","-",+C774+1)</f>
        <v>2064</v>
      </c>
      <c r="D775" s="471">
        <f t="shared" si="44"/>
        <v>0</v>
      </c>
      <c r="E775" s="515">
        <f t="shared" si="47"/>
        <v>0</v>
      </c>
      <c r="F775" s="471">
        <f t="shared" si="42"/>
        <v>0</v>
      </c>
      <c r="G775" s="950">
        <f t="shared" si="45"/>
        <v>0</v>
      </c>
      <c r="H775" s="953">
        <f t="shared" si="46"/>
        <v>0</v>
      </c>
      <c r="I775" s="512">
        <f t="shared" si="43"/>
        <v>0</v>
      </c>
      <c r="J775" s="512"/>
      <c r="K775" s="649"/>
      <c r="L775" s="518"/>
      <c r="M775" s="649"/>
      <c r="N775" s="518"/>
      <c r="O775" s="518"/>
    </row>
    <row r="776" spans="3:15">
      <c r="C776" s="508">
        <f>IF(D720="","-",+C775+1)</f>
        <v>2065</v>
      </c>
      <c r="D776" s="471">
        <f t="shared" si="44"/>
        <v>0</v>
      </c>
      <c r="E776" s="515">
        <f t="shared" si="47"/>
        <v>0</v>
      </c>
      <c r="F776" s="471">
        <f t="shared" si="42"/>
        <v>0</v>
      </c>
      <c r="G776" s="950">
        <f t="shared" si="45"/>
        <v>0</v>
      </c>
      <c r="H776" s="953">
        <f t="shared" si="46"/>
        <v>0</v>
      </c>
      <c r="I776" s="512">
        <f t="shared" si="43"/>
        <v>0</v>
      </c>
      <c r="J776" s="512"/>
      <c r="K776" s="649"/>
      <c r="L776" s="518"/>
      <c r="M776" s="649"/>
      <c r="N776" s="518"/>
      <c r="O776" s="518"/>
    </row>
    <row r="777" spans="3:15">
      <c r="C777" s="508">
        <f>IF(D720="","-",+C776+1)</f>
        <v>2066</v>
      </c>
      <c r="D777" s="471">
        <f t="shared" si="44"/>
        <v>0</v>
      </c>
      <c r="E777" s="515">
        <f t="shared" si="47"/>
        <v>0</v>
      </c>
      <c r="F777" s="471">
        <f t="shared" si="42"/>
        <v>0</v>
      </c>
      <c r="G777" s="950">
        <f t="shared" si="45"/>
        <v>0</v>
      </c>
      <c r="H777" s="953">
        <f t="shared" si="46"/>
        <v>0</v>
      </c>
      <c r="I777" s="512">
        <f t="shared" si="43"/>
        <v>0</v>
      </c>
      <c r="J777" s="512"/>
      <c r="K777" s="649"/>
      <c r="L777" s="518"/>
      <c r="M777" s="649"/>
      <c r="N777" s="518"/>
      <c r="O777" s="518"/>
    </row>
    <row r="778" spans="3:15">
      <c r="C778" s="508">
        <f>IF(D720="","-",+C777+1)</f>
        <v>2067</v>
      </c>
      <c r="D778" s="471">
        <f t="shared" si="44"/>
        <v>0</v>
      </c>
      <c r="E778" s="515">
        <f t="shared" si="47"/>
        <v>0</v>
      </c>
      <c r="F778" s="471">
        <f t="shared" si="42"/>
        <v>0</v>
      </c>
      <c r="G778" s="950">
        <f t="shared" si="45"/>
        <v>0</v>
      </c>
      <c r="H778" s="953">
        <f t="shared" si="46"/>
        <v>0</v>
      </c>
      <c r="I778" s="512">
        <f t="shared" si="43"/>
        <v>0</v>
      </c>
      <c r="J778" s="512"/>
      <c r="K778" s="649"/>
      <c r="L778" s="518"/>
      <c r="M778" s="649"/>
      <c r="N778" s="518"/>
      <c r="O778" s="518"/>
    </row>
    <row r="779" spans="3:15">
      <c r="C779" s="508">
        <f>IF(D720="","-",+C778+1)</f>
        <v>2068</v>
      </c>
      <c r="D779" s="471">
        <f t="shared" si="44"/>
        <v>0</v>
      </c>
      <c r="E779" s="515">
        <f t="shared" si="47"/>
        <v>0</v>
      </c>
      <c r="F779" s="471">
        <f t="shared" si="42"/>
        <v>0</v>
      </c>
      <c r="G779" s="950">
        <f t="shared" si="45"/>
        <v>0</v>
      </c>
      <c r="H779" s="953">
        <f t="shared" si="46"/>
        <v>0</v>
      </c>
      <c r="I779" s="512">
        <f t="shared" si="43"/>
        <v>0</v>
      </c>
      <c r="J779" s="512"/>
      <c r="K779" s="649"/>
      <c r="L779" s="518"/>
      <c r="M779" s="649"/>
      <c r="N779" s="518"/>
      <c r="O779" s="518"/>
    </row>
    <row r="780" spans="3:15">
      <c r="C780" s="508">
        <f>IF(D720="","-",+C779+1)</f>
        <v>2069</v>
      </c>
      <c r="D780" s="471">
        <f t="shared" si="44"/>
        <v>0</v>
      </c>
      <c r="E780" s="515">
        <f t="shared" si="47"/>
        <v>0</v>
      </c>
      <c r="F780" s="471">
        <f t="shared" si="42"/>
        <v>0</v>
      </c>
      <c r="G780" s="950">
        <f t="shared" si="45"/>
        <v>0</v>
      </c>
      <c r="H780" s="953">
        <f t="shared" si="46"/>
        <v>0</v>
      </c>
      <c r="I780" s="512">
        <f t="shared" si="43"/>
        <v>0</v>
      </c>
      <c r="J780" s="512"/>
      <c r="K780" s="649"/>
      <c r="L780" s="518"/>
      <c r="M780" s="649"/>
      <c r="N780" s="518"/>
      <c r="O780" s="518"/>
    </row>
    <row r="781" spans="3:15">
      <c r="C781" s="508">
        <f>IF(D720="","-",+C780+1)</f>
        <v>2070</v>
      </c>
      <c r="D781" s="471">
        <f t="shared" si="44"/>
        <v>0</v>
      </c>
      <c r="E781" s="515">
        <f t="shared" si="47"/>
        <v>0</v>
      </c>
      <c r="F781" s="471">
        <f t="shared" si="42"/>
        <v>0</v>
      </c>
      <c r="G781" s="950">
        <f t="shared" si="45"/>
        <v>0</v>
      </c>
      <c r="H781" s="953">
        <f t="shared" si="46"/>
        <v>0</v>
      </c>
      <c r="I781" s="512">
        <f t="shared" si="43"/>
        <v>0</v>
      </c>
      <c r="J781" s="512"/>
      <c r="K781" s="649"/>
      <c r="L781" s="518"/>
      <c r="M781" s="649"/>
      <c r="N781" s="518"/>
      <c r="O781" s="518"/>
    </row>
    <row r="782" spans="3:15">
      <c r="C782" s="508">
        <f>IF(D720="","-",+C781+1)</f>
        <v>2071</v>
      </c>
      <c r="D782" s="471">
        <f t="shared" si="44"/>
        <v>0</v>
      </c>
      <c r="E782" s="515">
        <f t="shared" si="47"/>
        <v>0</v>
      </c>
      <c r="F782" s="471">
        <f t="shared" si="42"/>
        <v>0</v>
      </c>
      <c r="G782" s="950">
        <f t="shared" si="45"/>
        <v>0</v>
      </c>
      <c r="H782" s="953">
        <f t="shared" si="46"/>
        <v>0</v>
      </c>
      <c r="I782" s="512">
        <f t="shared" si="43"/>
        <v>0</v>
      </c>
      <c r="J782" s="512"/>
      <c r="K782" s="649"/>
      <c r="L782" s="518"/>
      <c r="M782" s="649"/>
      <c r="N782" s="518"/>
      <c r="O782" s="518"/>
    </row>
    <row r="783" spans="3:15">
      <c r="C783" s="508">
        <f>IF(D720="","-",+C782+1)</f>
        <v>2072</v>
      </c>
      <c r="D783" s="471">
        <f t="shared" si="44"/>
        <v>0</v>
      </c>
      <c r="E783" s="515">
        <f t="shared" si="47"/>
        <v>0</v>
      </c>
      <c r="F783" s="471">
        <f t="shared" si="42"/>
        <v>0</v>
      </c>
      <c r="G783" s="950">
        <f t="shared" si="45"/>
        <v>0</v>
      </c>
      <c r="H783" s="953">
        <f t="shared" si="46"/>
        <v>0</v>
      </c>
      <c r="I783" s="512">
        <f t="shared" si="43"/>
        <v>0</v>
      </c>
      <c r="J783" s="512"/>
      <c r="K783" s="649"/>
      <c r="L783" s="518"/>
      <c r="M783" s="649"/>
      <c r="N783" s="518"/>
      <c r="O783" s="518"/>
    </row>
    <row r="784" spans="3:15">
      <c r="C784" s="508">
        <f>IF(D720="","-",+C783+1)</f>
        <v>2073</v>
      </c>
      <c r="D784" s="471">
        <f t="shared" si="44"/>
        <v>0</v>
      </c>
      <c r="E784" s="515">
        <f t="shared" si="47"/>
        <v>0</v>
      </c>
      <c r="F784" s="471">
        <f t="shared" si="42"/>
        <v>0</v>
      </c>
      <c r="G784" s="950">
        <f t="shared" si="45"/>
        <v>0</v>
      </c>
      <c r="H784" s="953">
        <f t="shared" si="46"/>
        <v>0</v>
      </c>
      <c r="I784" s="512">
        <f t="shared" si="43"/>
        <v>0</v>
      </c>
      <c r="J784" s="512"/>
      <c r="K784" s="649"/>
      <c r="L784" s="518"/>
      <c r="M784" s="649"/>
      <c r="N784" s="518"/>
      <c r="O784" s="518"/>
    </row>
    <row r="785" spans="1:16" ht="13.5" thickBot="1">
      <c r="C785" s="520">
        <f>IF(D720="","-",+C784+1)</f>
        <v>2074</v>
      </c>
      <c r="D785" s="521">
        <f t="shared" si="44"/>
        <v>0</v>
      </c>
      <c r="E785" s="522">
        <f t="shared" si="47"/>
        <v>0</v>
      </c>
      <c r="F785" s="521">
        <f t="shared" si="42"/>
        <v>0</v>
      </c>
      <c r="G785" s="960">
        <f t="shared" si="45"/>
        <v>0</v>
      </c>
      <c r="H785" s="960">
        <f t="shared" si="46"/>
        <v>0</v>
      </c>
      <c r="I785" s="524">
        <f t="shared" si="43"/>
        <v>0</v>
      </c>
      <c r="J785" s="512"/>
      <c r="K785" s="650"/>
      <c r="L785" s="526"/>
      <c r="M785" s="650"/>
      <c r="N785" s="526"/>
      <c r="O785" s="526"/>
    </row>
    <row r="786" spans="1:16">
      <c r="C786" s="471" t="s">
        <v>288</v>
      </c>
      <c r="D786" s="931"/>
      <c r="E786" s="931">
        <f>SUM(E726:E785)</f>
        <v>5481331</v>
      </c>
      <c r="F786" s="931"/>
      <c r="G786" s="931">
        <f>SUM(G726:G785)</f>
        <v>18767800.594314698</v>
      </c>
      <c r="H786" s="931">
        <f>SUM(H726:H785)</f>
        <v>18767800.594314698</v>
      </c>
      <c r="I786" s="931">
        <f>SUM(I726:I785)</f>
        <v>0</v>
      </c>
      <c r="J786" s="931"/>
      <c r="K786" s="931"/>
      <c r="L786" s="931"/>
      <c r="M786" s="931"/>
      <c r="N786" s="931"/>
      <c r="O786" s="4"/>
    </row>
    <row r="787" spans="1:16">
      <c r="D787" s="78"/>
      <c r="E787" s="4"/>
      <c r="F787" s="4"/>
      <c r="G787" s="4"/>
      <c r="H787" s="930"/>
      <c r="I787" s="930"/>
      <c r="J787" s="931"/>
      <c r="K787" s="930"/>
      <c r="L787" s="930"/>
      <c r="M787" s="930"/>
      <c r="N787" s="930"/>
      <c r="O787" s="4"/>
    </row>
    <row r="788" spans="1:16">
      <c r="C788" s="4" t="s">
        <v>600</v>
      </c>
      <c r="D788" s="78"/>
      <c r="E788" s="4"/>
      <c r="F788" s="4"/>
      <c r="G788" s="4"/>
      <c r="H788" s="930"/>
      <c r="I788" s="930"/>
      <c r="J788" s="931"/>
      <c r="K788" s="930"/>
      <c r="L788" s="930"/>
      <c r="M788" s="930"/>
      <c r="N788" s="930"/>
      <c r="O788" s="4"/>
    </row>
    <row r="789" spans="1:16">
      <c r="D789" s="78"/>
      <c r="E789" s="4"/>
      <c r="F789" s="4"/>
      <c r="G789" s="4"/>
      <c r="H789" s="930"/>
      <c r="I789" s="930"/>
      <c r="J789" s="931"/>
      <c r="K789" s="930"/>
      <c r="L789" s="930"/>
      <c r="M789" s="930"/>
      <c r="N789" s="930"/>
      <c r="O789" s="4"/>
    </row>
    <row r="790" spans="1:16">
      <c r="C790" s="4" t="s">
        <v>601</v>
      </c>
      <c r="D790" s="471"/>
      <c r="E790" s="471"/>
      <c r="F790" s="471"/>
      <c r="G790" s="931"/>
      <c r="H790" s="931"/>
      <c r="I790" s="473"/>
      <c r="J790" s="473"/>
      <c r="K790" s="473"/>
      <c r="L790" s="473"/>
      <c r="M790" s="473"/>
      <c r="N790" s="473"/>
      <c r="O790" s="4"/>
    </row>
    <row r="791" spans="1:16">
      <c r="C791" s="4" t="s">
        <v>476</v>
      </c>
      <c r="D791" s="471"/>
      <c r="E791" s="471"/>
      <c r="F791" s="471"/>
      <c r="G791" s="931"/>
      <c r="H791" s="931"/>
      <c r="I791" s="473"/>
      <c r="J791" s="473"/>
      <c r="K791" s="473"/>
      <c r="L791" s="473"/>
      <c r="M791" s="473"/>
      <c r="N791" s="473"/>
      <c r="O791" s="4"/>
    </row>
    <row r="792" spans="1:16">
      <c r="C792" s="4" t="s">
        <v>289</v>
      </c>
      <c r="D792" s="471"/>
      <c r="E792" s="471"/>
      <c r="F792" s="471"/>
      <c r="G792" s="931"/>
      <c r="H792" s="931"/>
      <c r="I792" s="473"/>
      <c r="J792" s="473"/>
      <c r="K792" s="473"/>
      <c r="L792" s="473"/>
      <c r="M792" s="473"/>
      <c r="N792" s="473"/>
      <c r="O792" s="4"/>
    </row>
    <row r="793" spans="1:16">
      <c r="C793" s="472"/>
      <c r="D793" s="471"/>
      <c r="E793" s="471"/>
      <c r="F793" s="471"/>
      <c r="G793" s="931"/>
      <c r="H793" s="931"/>
      <c r="I793" s="473"/>
      <c r="J793" s="473"/>
      <c r="K793" s="473"/>
      <c r="L793" s="473"/>
      <c r="M793" s="473"/>
      <c r="N793" s="473"/>
      <c r="O793" s="4"/>
    </row>
    <row r="794" spans="1:16">
      <c r="C794" s="1303" t="s">
        <v>460</v>
      </c>
      <c r="D794" s="1303"/>
      <c r="E794" s="1303"/>
      <c r="F794" s="1303"/>
      <c r="G794" s="1303"/>
      <c r="H794" s="1303"/>
      <c r="I794" s="1303"/>
      <c r="J794" s="1303"/>
      <c r="K794" s="1303"/>
      <c r="L794" s="1303"/>
      <c r="M794" s="1303"/>
      <c r="N794" s="1303"/>
      <c r="O794" s="1303"/>
    </row>
    <row r="795" spans="1:16">
      <c r="C795" s="1303"/>
      <c r="D795" s="1303"/>
      <c r="E795" s="1303"/>
      <c r="F795" s="1303"/>
      <c r="G795" s="1303"/>
      <c r="H795" s="1303"/>
      <c r="I795" s="1303"/>
      <c r="J795" s="1303"/>
      <c r="K795" s="1303"/>
      <c r="L795" s="1303"/>
      <c r="M795" s="1303"/>
      <c r="N795" s="1303"/>
      <c r="O795" s="1303"/>
    </row>
    <row r="796" spans="1:16" ht="20.25">
      <c r="A796" s="413" t="s">
        <v>927</v>
      </c>
      <c r="B796" s="4"/>
      <c r="C796" s="4"/>
      <c r="D796" s="78"/>
      <c r="E796" s="4"/>
      <c r="F796" s="80"/>
      <c r="G796" s="4"/>
      <c r="H796" s="930"/>
      <c r="K796" s="11"/>
      <c r="L796" s="11"/>
      <c r="M796" s="11"/>
      <c r="N796" s="11" t="str">
        <f>"Page "&amp;SUM(P$6:P796)&amp;" of "</f>
        <v xml:space="preserve">Page 10 of </v>
      </c>
      <c r="O796" s="414">
        <f>COUNT(P$6:P$59606)</f>
        <v>14</v>
      </c>
      <c r="P796" s="4">
        <v>1</v>
      </c>
    </row>
    <row r="797" spans="1:16">
      <c r="B797" s="4"/>
      <c r="C797" s="4"/>
      <c r="D797" s="78"/>
      <c r="E797" s="4"/>
      <c r="F797" s="4"/>
      <c r="G797" s="4"/>
      <c r="H797" s="930"/>
      <c r="I797" s="4"/>
      <c r="J797" s="4"/>
      <c r="K797" s="4"/>
      <c r="L797" s="4"/>
      <c r="M797" s="4"/>
      <c r="N797" s="4"/>
      <c r="O797" s="4"/>
    </row>
    <row r="798" spans="1:16" ht="18">
      <c r="B798" s="415" t="s">
        <v>174</v>
      </c>
      <c r="C798" s="474" t="s">
        <v>290</v>
      </c>
      <c r="D798" s="78"/>
      <c r="E798" s="4"/>
      <c r="F798" s="4"/>
      <c r="G798" s="4"/>
      <c r="H798" s="930"/>
      <c r="I798" s="930"/>
      <c r="J798" s="931"/>
      <c r="K798" s="930"/>
      <c r="L798" s="930"/>
      <c r="M798" s="930"/>
      <c r="N798" s="930"/>
      <c r="O798" s="4"/>
    </row>
    <row r="799" spans="1:16" ht="18.75">
      <c r="B799" s="415"/>
      <c r="C799" s="13"/>
      <c r="D799" s="78"/>
      <c r="E799" s="4"/>
      <c r="F799" s="4"/>
      <c r="G799" s="4"/>
      <c r="H799" s="930"/>
      <c r="I799" s="930"/>
      <c r="J799" s="931"/>
      <c r="K799" s="930"/>
      <c r="L799" s="930"/>
      <c r="M799" s="930"/>
      <c r="N799" s="930"/>
      <c r="O799" s="4"/>
    </row>
    <row r="800" spans="1:16" ht="18.75">
      <c r="B800" s="415"/>
      <c r="C800" s="13" t="s">
        <v>291</v>
      </c>
      <c r="D800" s="78"/>
      <c r="E800" s="4"/>
      <c r="F800" s="4"/>
      <c r="G800" s="4"/>
      <c r="H800" s="930"/>
      <c r="I800" s="930"/>
      <c r="J800" s="931"/>
      <c r="K800" s="930"/>
      <c r="L800" s="930"/>
      <c r="M800" s="930"/>
      <c r="N800" s="930"/>
      <c r="O800" s="4"/>
    </row>
    <row r="801" spans="1:15" ht="15.75" thickBot="1">
      <c r="C801" s="250"/>
      <c r="D801" s="78"/>
      <c r="E801" s="4"/>
      <c r="F801" s="4"/>
      <c r="G801" s="4"/>
      <c r="H801" s="930"/>
      <c r="I801" s="930"/>
      <c r="J801" s="931"/>
      <c r="K801" s="930"/>
      <c r="L801" s="930"/>
      <c r="M801" s="930"/>
      <c r="N801" s="930"/>
      <c r="O801" s="4"/>
    </row>
    <row r="802" spans="1:15" ht="15.75">
      <c r="C802" s="416" t="s">
        <v>292</v>
      </c>
      <c r="D802" s="78"/>
      <c r="E802" s="4"/>
      <c r="F802" s="4"/>
      <c r="G802" s="932"/>
      <c r="H802" s="4" t="s">
        <v>271</v>
      </c>
      <c r="I802" s="4"/>
      <c r="J802" s="4"/>
      <c r="K802" s="475" t="s">
        <v>296</v>
      </c>
      <c r="L802" s="476"/>
      <c r="M802" s="477"/>
      <c r="N802" s="933">
        <f>VLOOKUP(I808,C815:O874,5)</f>
        <v>56004.782061753969</v>
      </c>
      <c r="O802" s="4"/>
    </row>
    <row r="803" spans="1:15" ht="15.75">
      <c r="C803" s="416"/>
      <c r="D803" s="78"/>
      <c r="E803" s="4"/>
      <c r="F803" s="4"/>
      <c r="G803" s="4"/>
      <c r="H803" s="934"/>
      <c r="I803" s="934"/>
      <c r="J803" s="935"/>
      <c r="K803" s="480" t="s">
        <v>297</v>
      </c>
      <c r="L803" s="936"/>
      <c r="M803" s="4"/>
      <c r="N803" s="937">
        <f>VLOOKUP(I808,C815:O874,6)</f>
        <v>56004.782061753969</v>
      </c>
      <c r="O803" s="4"/>
    </row>
    <row r="804" spans="1:15" ht="13.5" thickBot="1">
      <c r="C804" s="481" t="s">
        <v>293</v>
      </c>
      <c r="D804" s="1304" t="s">
        <v>937</v>
      </c>
      <c r="E804" s="1304"/>
      <c r="F804" s="1304"/>
      <c r="G804" s="1304"/>
      <c r="H804" s="1304"/>
      <c r="I804" s="930"/>
      <c r="J804" s="931"/>
      <c r="K804" s="938" t="s">
        <v>450</v>
      </c>
      <c r="L804" s="939"/>
      <c r="M804" s="939"/>
      <c r="N804" s="940">
        <f>+N803-N802</f>
        <v>0</v>
      </c>
      <c r="O804" s="4"/>
    </row>
    <row r="805" spans="1:15">
      <c r="C805" s="483"/>
      <c r="D805" s="484"/>
      <c r="E805" s="471"/>
      <c r="F805" s="471"/>
      <c r="G805" s="485"/>
      <c r="H805" s="930"/>
      <c r="I805" s="930"/>
      <c r="J805" s="931"/>
      <c r="K805" s="930"/>
      <c r="L805" s="930"/>
      <c r="M805" s="930"/>
      <c r="N805" s="930"/>
      <c r="O805" s="4"/>
    </row>
    <row r="806" spans="1:15" ht="13.5" thickBot="1">
      <c r="C806" s="483"/>
      <c r="D806" s="4"/>
      <c r="E806" s="485"/>
      <c r="F806" s="485"/>
      <c r="G806" s="485"/>
      <c r="H806" s="485"/>
      <c r="I806" s="485"/>
      <c r="J806" s="485"/>
      <c r="K806" s="485"/>
      <c r="L806" s="485"/>
      <c r="M806" s="485"/>
      <c r="N806" s="485"/>
      <c r="O806" s="4"/>
    </row>
    <row r="807" spans="1:15" ht="13.5" thickBot="1">
      <c r="C807" s="487" t="s">
        <v>294</v>
      </c>
      <c r="D807" s="488"/>
      <c r="E807" s="488"/>
      <c r="F807" s="488"/>
      <c r="G807" s="488"/>
      <c r="H807" s="488"/>
      <c r="I807" s="489"/>
      <c r="K807" s="4"/>
      <c r="L807" s="4"/>
      <c r="M807" s="4"/>
      <c r="N807" s="4"/>
      <c r="O807" s="4"/>
    </row>
    <row r="808" spans="1:15" ht="15">
      <c r="C808" s="490" t="s">
        <v>272</v>
      </c>
      <c r="D808" s="941">
        <v>451100</v>
      </c>
      <c r="E808" s="4" t="s">
        <v>273</v>
      </c>
      <c r="G808" s="78"/>
      <c r="H808" s="78"/>
      <c r="I808" s="491">
        <v>2018</v>
      </c>
      <c r="J808" s="134"/>
      <c r="K808" s="1302" t="s">
        <v>459</v>
      </c>
      <c r="L808" s="1302"/>
      <c r="M808" s="1302"/>
      <c r="N808" s="1302"/>
      <c r="O808" s="1302"/>
    </row>
    <row r="809" spans="1:15">
      <c r="C809" s="490" t="s">
        <v>275</v>
      </c>
      <c r="D809" s="644">
        <v>2014</v>
      </c>
      <c r="E809" s="490" t="s">
        <v>276</v>
      </c>
      <c r="F809" s="78"/>
      <c r="H809"/>
      <c r="I809" s="647">
        <f>IF(G802="",0,$F$15)</f>
        <v>0</v>
      </c>
      <c r="J809" s="492"/>
      <c r="K809" s="931" t="s">
        <v>459</v>
      </c>
    </row>
    <row r="810" spans="1:15">
      <c r="C810" s="490" t="s">
        <v>277</v>
      </c>
      <c r="D810" s="942">
        <v>9</v>
      </c>
      <c r="E810" s="490" t="s">
        <v>278</v>
      </c>
      <c r="F810" s="78"/>
      <c r="H810"/>
      <c r="I810" s="493">
        <f>$G$70</f>
        <v>0.11017952320434825</v>
      </c>
      <c r="J810" s="80"/>
      <c r="K810" t="str">
        <f>"          INPUT PROJECTED ARR (WITH &amp; WITHOUT INCENTIVES) FROM EACH PRIOR YEAR"</f>
        <v xml:space="preserve">          INPUT PROJECTED ARR (WITH &amp; WITHOUT INCENTIVES) FROM EACH PRIOR YEAR</v>
      </c>
    </row>
    <row r="811" spans="1:15">
      <c r="C811" s="490" t="s">
        <v>279</v>
      </c>
      <c r="D811" s="494">
        <f>G$79</f>
        <v>42</v>
      </c>
      <c r="E811" s="490" t="s">
        <v>280</v>
      </c>
      <c r="F811" s="78"/>
      <c r="H811"/>
      <c r="I811" s="493">
        <f>IF(G802="",I810,$G$67)</f>
        <v>0.11017952320434825</v>
      </c>
      <c r="J811" s="80"/>
      <c r="K811" t="s">
        <v>357</v>
      </c>
    </row>
    <row r="812" spans="1:15" ht="13.5" thickBot="1">
      <c r="C812" s="490" t="s">
        <v>281</v>
      </c>
      <c r="D812" s="646" t="s">
        <v>929</v>
      </c>
      <c r="E812" s="495" t="s">
        <v>282</v>
      </c>
      <c r="F812" s="496"/>
      <c r="G812" s="497"/>
      <c r="H812" s="497"/>
      <c r="I812" s="940">
        <f>IF(D808=0,0,D808/D811)</f>
        <v>10740.476190476191</v>
      </c>
      <c r="J812" s="931"/>
      <c r="K812" s="931" t="s">
        <v>363</v>
      </c>
      <c r="L812" s="931"/>
      <c r="M812" s="931"/>
      <c r="N812" s="931"/>
      <c r="O812" s="4"/>
    </row>
    <row r="813" spans="1:15" ht="51">
      <c r="A813" s="12"/>
      <c r="B813" s="12"/>
      <c r="C813" s="498" t="s">
        <v>272</v>
      </c>
      <c r="D813" s="943" t="s">
        <v>283</v>
      </c>
      <c r="E813" s="944" t="s">
        <v>284</v>
      </c>
      <c r="F813" s="943" t="s">
        <v>285</v>
      </c>
      <c r="G813" s="944" t="s">
        <v>356</v>
      </c>
      <c r="H813" s="945" t="s">
        <v>356</v>
      </c>
      <c r="I813" s="498" t="s">
        <v>295</v>
      </c>
      <c r="J813" s="502"/>
      <c r="K813" s="944" t="s">
        <v>365</v>
      </c>
      <c r="L813" s="946"/>
      <c r="M813" s="944" t="s">
        <v>365</v>
      </c>
      <c r="N813" s="946"/>
      <c r="O813" s="946"/>
    </row>
    <row r="814" spans="1:15" ht="13.5" thickBot="1">
      <c r="C814" s="503" t="s">
        <v>177</v>
      </c>
      <c r="D814" s="504" t="s">
        <v>178</v>
      </c>
      <c r="E814" s="503" t="s">
        <v>37</v>
      </c>
      <c r="F814" s="504" t="s">
        <v>178</v>
      </c>
      <c r="G814" s="947" t="s">
        <v>298</v>
      </c>
      <c r="H814" s="948" t="s">
        <v>300</v>
      </c>
      <c r="I814" s="503" t="s">
        <v>389</v>
      </c>
      <c r="J814" s="507"/>
      <c r="K814" s="947" t="s">
        <v>287</v>
      </c>
      <c r="L814" s="949"/>
      <c r="M814" s="947" t="s">
        <v>300</v>
      </c>
      <c r="N814" s="949"/>
      <c r="O814" s="949"/>
    </row>
    <row r="815" spans="1:15">
      <c r="C815" s="508">
        <f>IF(D809= "","-",D809)</f>
        <v>2014</v>
      </c>
      <c r="D815" s="471">
        <f>+D808</f>
        <v>451100</v>
      </c>
      <c r="E815" s="950">
        <f>+I812/12*(12-D810)</f>
        <v>2685.1190476190477</v>
      </c>
      <c r="F815" s="471">
        <f t="shared" ref="F815:F874" si="48">+D815-E815</f>
        <v>448414.88095238095</v>
      </c>
      <c r="G815" s="951">
        <f>+$I$810*((D815+F815)/2)+E815</f>
        <v>52239.179396893749</v>
      </c>
      <c r="H815" s="952">
        <f>+$I$811*((D815+F815)/2)+E815</f>
        <v>52239.179396893749</v>
      </c>
      <c r="I815" s="512">
        <f t="shared" ref="I815:I874" si="49">+H815-G815</f>
        <v>0</v>
      </c>
      <c r="J815" s="512"/>
      <c r="K815" s="648">
        <v>0</v>
      </c>
      <c r="L815" s="514"/>
      <c r="M815" s="648">
        <v>0</v>
      </c>
      <c r="N815" s="514"/>
      <c r="O815" s="514"/>
    </row>
    <row r="816" spans="1:15">
      <c r="C816" s="508">
        <f>IF(D809="","-",+C815+1)</f>
        <v>2015</v>
      </c>
      <c r="D816" s="471">
        <f t="shared" ref="D816:D874" si="50">F815</f>
        <v>448414.88095238095</v>
      </c>
      <c r="E816" s="515">
        <f>IF(D816&gt;$I$812,$I$812,D816)</f>
        <v>10740.476190476191</v>
      </c>
      <c r="F816" s="471">
        <f t="shared" si="48"/>
        <v>437674.40476190473</v>
      </c>
      <c r="G816" s="950">
        <f t="shared" ref="G816:G874" si="51">+$I$810*((D816+F816)/2)+E816</f>
        <v>59554.923698716942</v>
      </c>
      <c r="H816" s="953">
        <f t="shared" ref="H816:H874" si="52">+$I$811*((D816+F816)/2)+E816</f>
        <v>59554.923698716942</v>
      </c>
      <c r="I816" s="512">
        <f t="shared" si="49"/>
        <v>0</v>
      </c>
      <c r="J816" s="512"/>
      <c r="K816" s="649">
        <v>0</v>
      </c>
      <c r="L816" s="518"/>
      <c r="M816" s="649">
        <v>0</v>
      </c>
      <c r="N816" s="518"/>
      <c r="O816" s="518"/>
    </row>
    <row r="817" spans="3:15">
      <c r="C817" s="508">
        <f>IF(D809="","-",+C816+1)</f>
        <v>2016</v>
      </c>
      <c r="D817" s="471">
        <f t="shared" si="50"/>
        <v>437674.40476190473</v>
      </c>
      <c r="E817" s="515">
        <f t="shared" ref="E817:E874" si="53">IF(D817&gt;$I$812,$I$812,D817)</f>
        <v>10740.476190476191</v>
      </c>
      <c r="F817" s="471">
        <f t="shared" si="48"/>
        <v>426933.92857142852</v>
      </c>
      <c r="G817" s="950">
        <f t="shared" si="51"/>
        <v>58371.543153062616</v>
      </c>
      <c r="H817" s="953">
        <f t="shared" si="52"/>
        <v>58371.543153062616</v>
      </c>
      <c r="I817" s="512">
        <f t="shared" si="49"/>
        <v>0</v>
      </c>
      <c r="J817" s="512"/>
      <c r="K817" s="649">
        <v>1117</v>
      </c>
      <c r="L817" s="963"/>
      <c r="M817" s="649">
        <v>1117</v>
      </c>
      <c r="N817" s="518"/>
      <c r="O817" s="518"/>
    </row>
    <row r="818" spans="3:15">
      <c r="C818" s="508">
        <f>IF(D809="","-",+C817+1)</f>
        <v>2017</v>
      </c>
      <c r="D818" s="471">
        <f t="shared" si="50"/>
        <v>426933.92857142852</v>
      </c>
      <c r="E818" s="515">
        <f t="shared" si="53"/>
        <v>10740.476190476191</v>
      </c>
      <c r="F818" s="471">
        <f t="shared" si="48"/>
        <v>416193.45238095231</v>
      </c>
      <c r="G818" s="950">
        <f t="shared" si="51"/>
        <v>57188.162607408296</v>
      </c>
      <c r="H818" s="953">
        <f t="shared" si="52"/>
        <v>57188.162607408296</v>
      </c>
      <c r="I818" s="512">
        <f t="shared" si="49"/>
        <v>0</v>
      </c>
      <c r="J818" s="512"/>
      <c r="K818" s="649">
        <v>57580</v>
      </c>
      <c r="L818" s="518"/>
      <c r="M818" s="649">
        <v>57580</v>
      </c>
      <c r="N818" s="518"/>
      <c r="O818" s="518"/>
    </row>
    <row r="819" spans="3:15">
      <c r="C819" s="954">
        <f>IF(D809="","-",+C818+1)</f>
        <v>2018</v>
      </c>
      <c r="D819" s="955">
        <f t="shared" si="50"/>
        <v>416193.45238095231</v>
      </c>
      <c r="E819" s="956">
        <f t="shared" si="53"/>
        <v>10740.476190476191</v>
      </c>
      <c r="F819" s="955">
        <f t="shared" si="48"/>
        <v>405452.9761904761</v>
      </c>
      <c r="G819" s="957">
        <f t="shared" si="51"/>
        <v>56004.782061753969</v>
      </c>
      <c r="H819" s="958">
        <f t="shared" si="52"/>
        <v>56004.782061753969</v>
      </c>
      <c r="I819" s="964">
        <f t="shared" si="49"/>
        <v>0</v>
      </c>
      <c r="J819" s="512"/>
      <c r="K819" s="649"/>
      <c r="L819" s="518"/>
      <c r="M819" s="649"/>
      <c r="N819" s="518"/>
      <c r="O819" s="518"/>
    </row>
    <row r="820" spans="3:15">
      <c r="C820" s="508">
        <f>IF(D809="","-",+C819+1)</f>
        <v>2019</v>
      </c>
      <c r="D820" s="471">
        <f t="shared" si="50"/>
        <v>405452.9761904761</v>
      </c>
      <c r="E820" s="515">
        <f t="shared" si="53"/>
        <v>10740.476190476191</v>
      </c>
      <c r="F820" s="471">
        <f t="shared" si="48"/>
        <v>394712.49999999988</v>
      </c>
      <c r="G820" s="950">
        <f t="shared" si="51"/>
        <v>54821.40151609965</v>
      </c>
      <c r="H820" s="953">
        <f t="shared" si="52"/>
        <v>54821.40151609965</v>
      </c>
      <c r="I820" s="512">
        <f t="shared" si="49"/>
        <v>0</v>
      </c>
      <c r="J820" s="512"/>
      <c r="K820" s="649"/>
      <c r="L820" s="518"/>
      <c r="M820" s="649"/>
      <c r="N820" s="518"/>
      <c r="O820" s="518"/>
    </row>
    <row r="821" spans="3:15">
      <c r="C821" s="508">
        <f>IF(D809="","-",+C820+1)</f>
        <v>2020</v>
      </c>
      <c r="D821" s="471">
        <f t="shared" si="50"/>
        <v>394712.49999999988</v>
      </c>
      <c r="E821" s="515">
        <f t="shared" si="53"/>
        <v>10740.476190476191</v>
      </c>
      <c r="F821" s="471">
        <f t="shared" si="48"/>
        <v>383972.02380952367</v>
      </c>
      <c r="G821" s="950">
        <f t="shared" si="51"/>
        <v>53638.020970445323</v>
      </c>
      <c r="H821" s="953">
        <f t="shared" si="52"/>
        <v>53638.020970445323</v>
      </c>
      <c r="I821" s="512">
        <f t="shared" si="49"/>
        <v>0</v>
      </c>
      <c r="J821" s="512"/>
      <c r="K821" s="649"/>
      <c r="L821" s="518"/>
      <c r="M821" s="649"/>
      <c r="N821" s="518"/>
      <c r="O821" s="518"/>
    </row>
    <row r="822" spans="3:15">
      <c r="C822" s="508">
        <f>IF(D809="","-",+C821+1)</f>
        <v>2021</v>
      </c>
      <c r="D822" s="471">
        <f t="shared" si="50"/>
        <v>383972.02380952367</v>
      </c>
      <c r="E822" s="515">
        <f t="shared" si="53"/>
        <v>10740.476190476191</v>
      </c>
      <c r="F822" s="471">
        <f t="shared" si="48"/>
        <v>373231.54761904746</v>
      </c>
      <c r="G822" s="950">
        <f t="shared" si="51"/>
        <v>52454.640424791003</v>
      </c>
      <c r="H822" s="953">
        <f t="shared" si="52"/>
        <v>52454.640424791003</v>
      </c>
      <c r="I822" s="512">
        <f t="shared" si="49"/>
        <v>0</v>
      </c>
      <c r="J822" s="512"/>
      <c r="K822" s="649"/>
      <c r="L822" s="518"/>
      <c r="M822" s="649"/>
      <c r="N822" s="518"/>
      <c r="O822" s="518"/>
    </row>
    <row r="823" spans="3:15">
      <c r="C823" s="508">
        <f>IF(D809="","-",+C822+1)</f>
        <v>2022</v>
      </c>
      <c r="D823" s="471">
        <f t="shared" si="50"/>
        <v>373231.54761904746</v>
      </c>
      <c r="E823" s="515">
        <f t="shared" si="53"/>
        <v>10740.476190476191</v>
      </c>
      <c r="F823" s="471">
        <f t="shared" si="48"/>
        <v>362491.07142857125</v>
      </c>
      <c r="G823" s="950">
        <f t="shared" si="51"/>
        <v>51271.259879136676</v>
      </c>
      <c r="H823" s="953">
        <f t="shared" si="52"/>
        <v>51271.259879136676</v>
      </c>
      <c r="I823" s="512">
        <f t="shared" si="49"/>
        <v>0</v>
      </c>
      <c r="J823" s="512"/>
      <c r="K823" s="649"/>
      <c r="L823" s="518"/>
      <c r="M823" s="649"/>
      <c r="N823" s="518"/>
      <c r="O823" s="518"/>
    </row>
    <row r="824" spans="3:15">
      <c r="C824" s="508">
        <f>IF(D809="","-",+C823+1)</f>
        <v>2023</v>
      </c>
      <c r="D824" s="471">
        <f t="shared" si="50"/>
        <v>362491.07142857125</v>
      </c>
      <c r="E824" s="515">
        <f t="shared" si="53"/>
        <v>10740.476190476191</v>
      </c>
      <c r="F824" s="471">
        <f t="shared" si="48"/>
        <v>351750.59523809503</v>
      </c>
      <c r="G824" s="950">
        <f t="shared" si="51"/>
        <v>50087.879333482349</v>
      </c>
      <c r="H824" s="953">
        <f t="shared" si="52"/>
        <v>50087.879333482349</v>
      </c>
      <c r="I824" s="512">
        <f t="shared" si="49"/>
        <v>0</v>
      </c>
      <c r="J824" s="512"/>
      <c r="K824" s="649"/>
      <c r="L824" s="518"/>
      <c r="M824" s="649"/>
      <c r="N824" s="518"/>
      <c r="O824" s="518"/>
    </row>
    <row r="825" spans="3:15">
      <c r="C825" s="508">
        <f>IF(D809="","-",+C824+1)</f>
        <v>2024</v>
      </c>
      <c r="D825" s="471">
        <f t="shared" si="50"/>
        <v>351750.59523809503</v>
      </c>
      <c r="E825" s="515">
        <f t="shared" si="53"/>
        <v>10740.476190476191</v>
      </c>
      <c r="F825" s="471">
        <f t="shared" si="48"/>
        <v>341010.11904761882</v>
      </c>
      <c r="G825" s="950">
        <f t="shared" si="51"/>
        <v>48904.49878782803</v>
      </c>
      <c r="H825" s="953">
        <f t="shared" si="52"/>
        <v>48904.49878782803</v>
      </c>
      <c r="I825" s="512">
        <f t="shared" si="49"/>
        <v>0</v>
      </c>
      <c r="J825" s="512"/>
      <c r="K825" s="649"/>
      <c r="L825" s="518"/>
      <c r="M825" s="649"/>
      <c r="N825" s="518"/>
      <c r="O825" s="518"/>
    </row>
    <row r="826" spans="3:15">
      <c r="C826" s="508">
        <f>IF(D809="","-",+C825+1)</f>
        <v>2025</v>
      </c>
      <c r="D826" s="471">
        <f t="shared" si="50"/>
        <v>341010.11904761882</v>
      </c>
      <c r="E826" s="515">
        <f t="shared" si="53"/>
        <v>10740.476190476191</v>
      </c>
      <c r="F826" s="471">
        <f t="shared" si="48"/>
        <v>330269.64285714261</v>
      </c>
      <c r="G826" s="950">
        <f t="shared" si="51"/>
        <v>47721.118242173703</v>
      </c>
      <c r="H826" s="953">
        <f t="shared" si="52"/>
        <v>47721.118242173703</v>
      </c>
      <c r="I826" s="512">
        <f t="shared" si="49"/>
        <v>0</v>
      </c>
      <c r="J826" s="512"/>
      <c r="K826" s="649"/>
      <c r="L826" s="518"/>
      <c r="M826" s="649"/>
      <c r="N826" s="518"/>
      <c r="O826" s="518"/>
    </row>
    <row r="827" spans="3:15">
      <c r="C827" s="508">
        <f>IF(D809="","-",+C826+1)</f>
        <v>2026</v>
      </c>
      <c r="D827" s="471">
        <f t="shared" si="50"/>
        <v>330269.64285714261</v>
      </c>
      <c r="E827" s="515">
        <f t="shared" si="53"/>
        <v>10740.476190476191</v>
      </c>
      <c r="F827" s="471">
        <f t="shared" si="48"/>
        <v>319529.1666666664</v>
      </c>
      <c r="G827" s="950">
        <f t="shared" si="51"/>
        <v>46537.737696519383</v>
      </c>
      <c r="H827" s="953">
        <f t="shared" si="52"/>
        <v>46537.737696519383</v>
      </c>
      <c r="I827" s="512">
        <f t="shared" si="49"/>
        <v>0</v>
      </c>
      <c r="J827" s="512"/>
      <c r="K827" s="649"/>
      <c r="L827" s="518"/>
      <c r="M827" s="649"/>
      <c r="N827" s="519"/>
      <c r="O827" s="518"/>
    </row>
    <row r="828" spans="3:15">
      <c r="C828" s="508">
        <f>IF(D809="","-",+C827+1)</f>
        <v>2027</v>
      </c>
      <c r="D828" s="471">
        <f t="shared" si="50"/>
        <v>319529.1666666664</v>
      </c>
      <c r="E828" s="515">
        <f t="shared" si="53"/>
        <v>10740.476190476191</v>
      </c>
      <c r="F828" s="471">
        <f t="shared" si="48"/>
        <v>308788.69047619018</v>
      </c>
      <c r="G828" s="950">
        <f t="shared" si="51"/>
        <v>45354.357150865057</v>
      </c>
      <c r="H828" s="953">
        <f t="shared" si="52"/>
        <v>45354.357150865057</v>
      </c>
      <c r="I828" s="512">
        <f t="shared" si="49"/>
        <v>0</v>
      </c>
      <c r="J828" s="512"/>
      <c r="K828" s="649"/>
      <c r="L828" s="518"/>
      <c r="M828" s="649"/>
      <c r="N828" s="518"/>
      <c r="O828" s="518"/>
    </row>
    <row r="829" spans="3:15">
      <c r="C829" s="508">
        <f>IF(D809="","-",+C828+1)</f>
        <v>2028</v>
      </c>
      <c r="D829" s="471">
        <f t="shared" si="50"/>
        <v>308788.69047619018</v>
      </c>
      <c r="E829" s="515">
        <f t="shared" si="53"/>
        <v>10740.476190476191</v>
      </c>
      <c r="F829" s="471">
        <f t="shared" si="48"/>
        <v>298048.21428571397</v>
      </c>
      <c r="G829" s="950">
        <f t="shared" si="51"/>
        <v>44170.976605210737</v>
      </c>
      <c r="H829" s="953">
        <f t="shared" si="52"/>
        <v>44170.976605210737</v>
      </c>
      <c r="I829" s="512">
        <f t="shared" si="49"/>
        <v>0</v>
      </c>
      <c r="J829" s="512"/>
      <c r="K829" s="649"/>
      <c r="L829" s="518"/>
      <c r="M829" s="649"/>
      <c r="N829" s="518"/>
      <c r="O829" s="518"/>
    </row>
    <row r="830" spans="3:15">
      <c r="C830" s="508">
        <f>IF(D809="","-",+C829+1)</f>
        <v>2029</v>
      </c>
      <c r="D830" s="471">
        <f t="shared" si="50"/>
        <v>298048.21428571397</v>
      </c>
      <c r="E830" s="515">
        <f t="shared" si="53"/>
        <v>10740.476190476191</v>
      </c>
      <c r="F830" s="471">
        <f t="shared" si="48"/>
        <v>287307.73809523776</v>
      </c>
      <c r="G830" s="950">
        <f t="shared" si="51"/>
        <v>42987.59605955641</v>
      </c>
      <c r="H830" s="953">
        <f t="shared" si="52"/>
        <v>42987.59605955641</v>
      </c>
      <c r="I830" s="512">
        <f t="shared" si="49"/>
        <v>0</v>
      </c>
      <c r="J830" s="512"/>
      <c r="K830" s="649"/>
      <c r="L830" s="518"/>
      <c r="M830" s="649"/>
      <c r="N830" s="518"/>
      <c r="O830" s="518"/>
    </row>
    <row r="831" spans="3:15">
      <c r="C831" s="508">
        <f>IF(D809="","-",+C830+1)</f>
        <v>2030</v>
      </c>
      <c r="D831" s="471">
        <f t="shared" si="50"/>
        <v>287307.73809523776</v>
      </c>
      <c r="E831" s="515">
        <f t="shared" si="53"/>
        <v>10740.476190476191</v>
      </c>
      <c r="F831" s="471">
        <f t="shared" si="48"/>
        <v>276567.26190476154</v>
      </c>
      <c r="G831" s="950">
        <f t="shared" si="51"/>
        <v>41804.215513902091</v>
      </c>
      <c r="H831" s="953">
        <f t="shared" si="52"/>
        <v>41804.215513902091</v>
      </c>
      <c r="I831" s="512">
        <f t="shared" si="49"/>
        <v>0</v>
      </c>
      <c r="J831" s="512"/>
      <c r="K831" s="649"/>
      <c r="L831" s="518"/>
      <c r="M831" s="649"/>
      <c r="N831" s="518"/>
      <c r="O831" s="518"/>
    </row>
    <row r="832" spans="3:15">
      <c r="C832" s="508">
        <f>IF(D809="","-",+C831+1)</f>
        <v>2031</v>
      </c>
      <c r="D832" s="471">
        <f t="shared" si="50"/>
        <v>276567.26190476154</v>
      </c>
      <c r="E832" s="515">
        <f t="shared" si="53"/>
        <v>10740.476190476191</v>
      </c>
      <c r="F832" s="471">
        <f t="shared" si="48"/>
        <v>265826.78571428533</v>
      </c>
      <c r="G832" s="950">
        <f t="shared" si="51"/>
        <v>40620.834968247764</v>
      </c>
      <c r="H832" s="953">
        <f t="shared" si="52"/>
        <v>40620.834968247764</v>
      </c>
      <c r="I832" s="512">
        <f t="shared" si="49"/>
        <v>0</v>
      </c>
      <c r="J832" s="512"/>
      <c r="K832" s="649"/>
      <c r="L832" s="518"/>
      <c r="M832" s="649"/>
      <c r="N832" s="518"/>
      <c r="O832" s="518"/>
    </row>
    <row r="833" spans="3:15">
      <c r="C833" s="508">
        <f>IF(D809="","-",+C832+1)</f>
        <v>2032</v>
      </c>
      <c r="D833" s="471">
        <f t="shared" si="50"/>
        <v>265826.78571428533</v>
      </c>
      <c r="E833" s="515">
        <f t="shared" si="53"/>
        <v>10740.476190476191</v>
      </c>
      <c r="F833" s="471">
        <f t="shared" si="48"/>
        <v>255086.30952380915</v>
      </c>
      <c r="G833" s="950">
        <f t="shared" si="51"/>
        <v>39437.454422593437</v>
      </c>
      <c r="H833" s="953">
        <f t="shared" si="52"/>
        <v>39437.454422593437</v>
      </c>
      <c r="I833" s="512">
        <f t="shared" si="49"/>
        <v>0</v>
      </c>
      <c r="J833" s="512"/>
      <c r="K833" s="649"/>
      <c r="L833" s="518"/>
      <c r="M833" s="649"/>
      <c r="N833" s="518"/>
      <c r="O833" s="518"/>
    </row>
    <row r="834" spans="3:15">
      <c r="C834" s="508">
        <f>IF(D809="","-",+C833+1)</f>
        <v>2033</v>
      </c>
      <c r="D834" s="471">
        <f t="shared" si="50"/>
        <v>255086.30952380915</v>
      </c>
      <c r="E834" s="515">
        <f t="shared" si="53"/>
        <v>10740.476190476191</v>
      </c>
      <c r="F834" s="471">
        <f t="shared" si="48"/>
        <v>244345.83333333296</v>
      </c>
      <c r="G834" s="950">
        <f t="shared" si="51"/>
        <v>38254.073876939117</v>
      </c>
      <c r="H834" s="953">
        <f t="shared" si="52"/>
        <v>38254.073876939117</v>
      </c>
      <c r="I834" s="512">
        <f t="shared" si="49"/>
        <v>0</v>
      </c>
      <c r="J834" s="512"/>
      <c r="K834" s="649"/>
      <c r="L834" s="518"/>
      <c r="M834" s="649"/>
      <c r="N834" s="518"/>
      <c r="O834" s="518"/>
    </row>
    <row r="835" spans="3:15">
      <c r="C835" s="508">
        <f>IF(D809="","-",+C834+1)</f>
        <v>2034</v>
      </c>
      <c r="D835" s="471">
        <f t="shared" si="50"/>
        <v>244345.83333333296</v>
      </c>
      <c r="E835" s="515">
        <f t="shared" si="53"/>
        <v>10740.476190476191</v>
      </c>
      <c r="F835" s="471">
        <f t="shared" si="48"/>
        <v>233605.35714285678</v>
      </c>
      <c r="G835" s="950">
        <f t="shared" si="51"/>
        <v>37070.693331284798</v>
      </c>
      <c r="H835" s="953">
        <f t="shared" si="52"/>
        <v>37070.693331284798</v>
      </c>
      <c r="I835" s="512">
        <f t="shared" si="49"/>
        <v>0</v>
      </c>
      <c r="J835" s="512"/>
      <c r="K835" s="649"/>
      <c r="L835" s="518"/>
      <c r="M835" s="649"/>
      <c r="N835" s="518"/>
      <c r="O835" s="518"/>
    </row>
    <row r="836" spans="3:15">
      <c r="C836" s="508">
        <f>IF(D809="","-",+C835+1)</f>
        <v>2035</v>
      </c>
      <c r="D836" s="471">
        <f t="shared" si="50"/>
        <v>233605.35714285678</v>
      </c>
      <c r="E836" s="515">
        <f t="shared" si="53"/>
        <v>10740.476190476191</v>
      </c>
      <c r="F836" s="471">
        <f t="shared" si="48"/>
        <v>222864.8809523806</v>
      </c>
      <c r="G836" s="950">
        <f t="shared" si="51"/>
        <v>35887.312785630478</v>
      </c>
      <c r="H836" s="953">
        <f t="shared" si="52"/>
        <v>35887.312785630478</v>
      </c>
      <c r="I836" s="512">
        <f t="shared" si="49"/>
        <v>0</v>
      </c>
      <c r="J836" s="512"/>
      <c r="K836" s="649"/>
      <c r="L836" s="518"/>
      <c r="M836" s="649"/>
      <c r="N836" s="518"/>
      <c r="O836" s="518"/>
    </row>
    <row r="837" spans="3:15">
      <c r="C837" s="508">
        <f>IF(D809="","-",+C836+1)</f>
        <v>2036</v>
      </c>
      <c r="D837" s="471">
        <f t="shared" si="50"/>
        <v>222864.8809523806</v>
      </c>
      <c r="E837" s="515">
        <f t="shared" si="53"/>
        <v>10740.476190476191</v>
      </c>
      <c r="F837" s="471">
        <f t="shared" si="48"/>
        <v>212124.40476190441</v>
      </c>
      <c r="G837" s="950">
        <f t="shared" si="51"/>
        <v>34703.932239976159</v>
      </c>
      <c r="H837" s="953">
        <f t="shared" si="52"/>
        <v>34703.932239976159</v>
      </c>
      <c r="I837" s="512">
        <f t="shared" si="49"/>
        <v>0</v>
      </c>
      <c r="J837" s="512"/>
      <c r="K837" s="649"/>
      <c r="L837" s="518"/>
      <c r="M837" s="649"/>
      <c r="N837" s="518"/>
      <c r="O837" s="518"/>
    </row>
    <row r="838" spans="3:15">
      <c r="C838" s="508">
        <f>IF(D809="","-",+C837+1)</f>
        <v>2037</v>
      </c>
      <c r="D838" s="471">
        <f t="shared" si="50"/>
        <v>212124.40476190441</v>
      </c>
      <c r="E838" s="515">
        <f t="shared" si="53"/>
        <v>10740.476190476191</v>
      </c>
      <c r="F838" s="471">
        <f t="shared" si="48"/>
        <v>201383.92857142823</v>
      </c>
      <c r="G838" s="950">
        <f t="shared" si="51"/>
        <v>33520.551694321839</v>
      </c>
      <c r="H838" s="953">
        <f t="shared" si="52"/>
        <v>33520.551694321839</v>
      </c>
      <c r="I838" s="512">
        <f t="shared" si="49"/>
        <v>0</v>
      </c>
      <c r="J838" s="512"/>
      <c r="K838" s="649"/>
      <c r="L838" s="518"/>
      <c r="M838" s="649"/>
      <c r="N838" s="518"/>
      <c r="O838" s="518"/>
    </row>
    <row r="839" spans="3:15">
      <c r="C839" s="508">
        <f>IF(D809="","-",+C838+1)</f>
        <v>2038</v>
      </c>
      <c r="D839" s="471">
        <f t="shared" si="50"/>
        <v>201383.92857142823</v>
      </c>
      <c r="E839" s="515">
        <f t="shared" si="53"/>
        <v>10740.476190476191</v>
      </c>
      <c r="F839" s="471">
        <f t="shared" si="48"/>
        <v>190643.45238095205</v>
      </c>
      <c r="G839" s="950">
        <f t="shared" si="51"/>
        <v>32337.171148667516</v>
      </c>
      <c r="H839" s="953">
        <f t="shared" si="52"/>
        <v>32337.171148667516</v>
      </c>
      <c r="I839" s="512">
        <f t="shared" si="49"/>
        <v>0</v>
      </c>
      <c r="J839" s="512"/>
      <c r="K839" s="649"/>
      <c r="L839" s="518"/>
      <c r="M839" s="649"/>
      <c r="N839" s="518"/>
      <c r="O839" s="518"/>
    </row>
    <row r="840" spans="3:15">
      <c r="C840" s="508">
        <f>IF(D809="","-",+C839+1)</f>
        <v>2039</v>
      </c>
      <c r="D840" s="471">
        <f t="shared" si="50"/>
        <v>190643.45238095205</v>
      </c>
      <c r="E840" s="515">
        <f t="shared" si="53"/>
        <v>10740.476190476191</v>
      </c>
      <c r="F840" s="471">
        <f t="shared" si="48"/>
        <v>179902.97619047586</v>
      </c>
      <c r="G840" s="950">
        <f t="shared" si="51"/>
        <v>31153.7906030132</v>
      </c>
      <c r="H840" s="953">
        <f t="shared" si="52"/>
        <v>31153.7906030132</v>
      </c>
      <c r="I840" s="512">
        <f t="shared" si="49"/>
        <v>0</v>
      </c>
      <c r="J840" s="512"/>
      <c r="K840" s="649"/>
      <c r="L840" s="518"/>
      <c r="M840" s="649"/>
      <c r="N840" s="518"/>
      <c r="O840" s="518"/>
    </row>
    <row r="841" spans="3:15">
      <c r="C841" s="508">
        <f>IF(D809="","-",+C840+1)</f>
        <v>2040</v>
      </c>
      <c r="D841" s="471">
        <f t="shared" si="50"/>
        <v>179902.97619047586</v>
      </c>
      <c r="E841" s="515">
        <f t="shared" si="53"/>
        <v>10740.476190476191</v>
      </c>
      <c r="F841" s="471">
        <f t="shared" si="48"/>
        <v>169162.49999999968</v>
      </c>
      <c r="G841" s="950">
        <f t="shared" si="51"/>
        <v>29970.410057358873</v>
      </c>
      <c r="H841" s="953">
        <f t="shared" si="52"/>
        <v>29970.410057358873</v>
      </c>
      <c r="I841" s="512">
        <f t="shared" si="49"/>
        <v>0</v>
      </c>
      <c r="J841" s="512"/>
      <c r="K841" s="649"/>
      <c r="L841" s="518"/>
      <c r="M841" s="649"/>
      <c r="N841" s="518"/>
      <c r="O841" s="518"/>
    </row>
    <row r="842" spans="3:15">
      <c r="C842" s="508">
        <f>IF(D809="","-",+C841+1)</f>
        <v>2041</v>
      </c>
      <c r="D842" s="471">
        <f t="shared" si="50"/>
        <v>169162.49999999968</v>
      </c>
      <c r="E842" s="515">
        <f t="shared" si="53"/>
        <v>10740.476190476191</v>
      </c>
      <c r="F842" s="471">
        <f t="shared" si="48"/>
        <v>158422.0238095235</v>
      </c>
      <c r="G842" s="950">
        <f t="shared" si="51"/>
        <v>28787.029511704557</v>
      </c>
      <c r="H842" s="953">
        <f t="shared" si="52"/>
        <v>28787.029511704557</v>
      </c>
      <c r="I842" s="512">
        <f t="shared" si="49"/>
        <v>0</v>
      </c>
      <c r="J842" s="512"/>
      <c r="K842" s="649"/>
      <c r="L842" s="518"/>
      <c r="M842" s="649"/>
      <c r="N842" s="518"/>
      <c r="O842" s="518"/>
    </row>
    <row r="843" spans="3:15">
      <c r="C843" s="508">
        <f>IF(D809="","-",+C842+1)</f>
        <v>2042</v>
      </c>
      <c r="D843" s="471">
        <f t="shared" si="50"/>
        <v>158422.0238095235</v>
      </c>
      <c r="E843" s="515">
        <f t="shared" si="53"/>
        <v>10740.476190476191</v>
      </c>
      <c r="F843" s="471">
        <f t="shared" si="48"/>
        <v>147681.54761904731</v>
      </c>
      <c r="G843" s="959">
        <f t="shared" si="51"/>
        <v>27603.648966050234</v>
      </c>
      <c r="H843" s="953">
        <f t="shared" si="52"/>
        <v>27603.648966050234</v>
      </c>
      <c r="I843" s="512">
        <f t="shared" si="49"/>
        <v>0</v>
      </c>
      <c r="J843" s="512"/>
      <c r="K843" s="649"/>
      <c r="L843" s="518"/>
      <c r="M843" s="649"/>
      <c r="N843" s="518"/>
      <c r="O843" s="518"/>
    </row>
    <row r="844" spans="3:15">
      <c r="C844" s="508">
        <f>IF(D809="","-",+C843+1)</f>
        <v>2043</v>
      </c>
      <c r="D844" s="471">
        <f t="shared" si="50"/>
        <v>147681.54761904731</v>
      </c>
      <c r="E844" s="515">
        <f t="shared" si="53"/>
        <v>10740.476190476191</v>
      </c>
      <c r="F844" s="471">
        <f t="shared" si="48"/>
        <v>136941.07142857113</v>
      </c>
      <c r="G844" s="950">
        <f t="shared" si="51"/>
        <v>26420.268420395914</v>
      </c>
      <c r="H844" s="953">
        <f t="shared" si="52"/>
        <v>26420.268420395914</v>
      </c>
      <c r="I844" s="512">
        <f t="shared" si="49"/>
        <v>0</v>
      </c>
      <c r="J844" s="512"/>
      <c r="K844" s="649"/>
      <c r="L844" s="518"/>
      <c r="M844" s="649"/>
      <c r="N844" s="518"/>
      <c r="O844" s="518"/>
    </row>
    <row r="845" spans="3:15">
      <c r="C845" s="508">
        <f>IF(D809="","-",+C844+1)</f>
        <v>2044</v>
      </c>
      <c r="D845" s="471">
        <f t="shared" si="50"/>
        <v>136941.07142857113</v>
      </c>
      <c r="E845" s="515">
        <f t="shared" si="53"/>
        <v>10740.476190476191</v>
      </c>
      <c r="F845" s="471">
        <f t="shared" si="48"/>
        <v>126200.59523809495</v>
      </c>
      <c r="G845" s="950">
        <f t="shared" si="51"/>
        <v>25236.887874741595</v>
      </c>
      <c r="H845" s="953">
        <f t="shared" si="52"/>
        <v>25236.887874741595</v>
      </c>
      <c r="I845" s="512">
        <f t="shared" si="49"/>
        <v>0</v>
      </c>
      <c r="J845" s="512"/>
      <c r="K845" s="649"/>
      <c r="L845" s="518"/>
      <c r="M845" s="649"/>
      <c r="N845" s="518"/>
      <c r="O845" s="518"/>
    </row>
    <row r="846" spans="3:15">
      <c r="C846" s="508">
        <f>IF(D809="","-",+C845+1)</f>
        <v>2045</v>
      </c>
      <c r="D846" s="471">
        <f t="shared" si="50"/>
        <v>126200.59523809495</v>
      </c>
      <c r="E846" s="515">
        <f t="shared" si="53"/>
        <v>10740.476190476191</v>
      </c>
      <c r="F846" s="471">
        <f t="shared" si="48"/>
        <v>115460.11904761876</v>
      </c>
      <c r="G846" s="950">
        <f t="shared" si="51"/>
        <v>24053.507329087275</v>
      </c>
      <c r="H846" s="953">
        <f t="shared" si="52"/>
        <v>24053.507329087275</v>
      </c>
      <c r="I846" s="512">
        <f t="shared" si="49"/>
        <v>0</v>
      </c>
      <c r="J846" s="512"/>
      <c r="K846" s="649"/>
      <c r="L846" s="518"/>
      <c r="M846" s="649"/>
      <c r="N846" s="518"/>
      <c r="O846" s="518"/>
    </row>
    <row r="847" spans="3:15">
      <c r="C847" s="508">
        <f>IF(D809="","-",+C846+1)</f>
        <v>2046</v>
      </c>
      <c r="D847" s="471">
        <f t="shared" si="50"/>
        <v>115460.11904761876</v>
      </c>
      <c r="E847" s="515">
        <f t="shared" si="53"/>
        <v>10740.476190476191</v>
      </c>
      <c r="F847" s="471">
        <f t="shared" si="48"/>
        <v>104719.64285714258</v>
      </c>
      <c r="G847" s="950">
        <f t="shared" si="51"/>
        <v>22870.126783432956</v>
      </c>
      <c r="H847" s="953">
        <f t="shared" si="52"/>
        <v>22870.126783432956</v>
      </c>
      <c r="I847" s="512">
        <f t="shared" si="49"/>
        <v>0</v>
      </c>
      <c r="J847" s="512"/>
      <c r="K847" s="649"/>
      <c r="L847" s="518"/>
      <c r="M847" s="649"/>
      <c r="N847" s="518"/>
      <c r="O847" s="518"/>
    </row>
    <row r="848" spans="3:15">
      <c r="C848" s="508">
        <f>IF(D809="","-",+C847+1)</f>
        <v>2047</v>
      </c>
      <c r="D848" s="471">
        <f t="shared" si="50"/>
        <v>104719.64285714258</v>
      </c>
      <c r="E848" s="515">
        <f t="shared" si="53"/>
        <v>10740.476190476191</v>
      </c>
      <c r="F848" s="471">
        <f t="shared" si="48"/>
        <v>93979.166666666395</v>
      </c>
      <c r="G848" s="950">
        <f t="shared" si="51"/>
        <v>21686.746237778632</v>
      </c>
      <c r="H848" s="953">
        <f t="shared" si="52"/>
        <v>21686.746237778632</v>
      </c>
      <c r="I848" s="512">
        <f t="shared" si="49"/>
        <v>0</v>
      </c>
      <c r="J848" s="512"/>
      <c r="K848" s="649"/>
      <c r="L848" s="518"/>
      <c r="M848" s="649"/>
      <c r="N848" s="518"/>
      <c r="O848" s="518"/>
    </row>
    <row r="849" spans="3:15">
      <c r="C849" s="508">
        <f>IF(D809="","-",+C848+1)</f>
        <v>2048</v>
      </c>
      <c r="D849" s="471">
        <f t="shared" si="50"/>
        <v>93979.166666666395</v>
      </c>
      <c r="E849" s="515">
        <f t="shared" si="53"/>
        <v>10740.476190476191</v>
      </c>
      <c r="F849" s="471">
        <f t="shared" si="48"/>
        <v>83238.690476190211</v>
      </c>
      <c r="G849" s="950">
        <f t="shared" si="51"/>
        <v>20503.365692124313</v>
      </c>
      <c r="H849" s="953">
        <f t="shared" si="52"/>
        <v>20503.365692124313</v>
      </c>
      <c r="I849" s="512">
        <f t="shared" si="49"/>
        <v>0</v>
      </c>
      <c r="J849" s="512"/>
      <c r="K849" s="649"/>
      <c r="L849" s="518"/>
      <c r="M849" s="649"/>
      <c r="N849" s="518"/>
      <c r="O849" s="518"/>
    </row>
    <row r="850" spans="3:15">
      <c r="C850" s="508">
        <f>IF(D809="","-",+C849+1)</f>
        <v>2049</v>
      </c>
      <c r="D850" s="471">
        <f t="shared" si="50"/>
        <v>83238.690476190211</v>
      </c>
      <c r="E850" s="515">
        <f t="shared" si="53"/>
        <v>10740.476190476191</v>
      </c>
      <c r="F850" s="471">
        <f t="shared" si="48"/>
        <v>72498.214285714028</v>
      </c>
      <c r="G850" s="950">
        <f t="shared" si="51"/>
        <v>19319.98514646999</v>
      </c>
      <c r="H850" s="953">
        <f t="shared" si="52"/>
        <v>19319.98514646999</v>
      </c>
      <c r="I850" s="512">
        <f t="shared" si="49"/>
        <v>0</v>
      </c>
      <c r="J850" s="512"/>
      <c r="K850" s="649"/>
      <c r="L850" s="518"/>
      <c r="M850" s="649"/>
      <c r="N850" s="518"/>
      <c r="O850" s="518"/>
    </row>
    <row r="851" spans="3:15">
      <c r="C851" s="508">
        <f>IF(D809="","-",+C850+1)</f>
        <v>2050</v>
      </c>
      <c r="D851" s="471">
        <f t="shared" si="50"/>
        <v>72498.214285714028</v>
      </c>
      <c r="E851" s="515">
        <f t="shared" si="53"/>
        <v>10740.476190476191</v>
      </c>
      <c r="F851" s="471">
        <f t="shared" si="48"/>
        <v>61757.738095237837</v>
      </c>
      <c r="G851" s="950">
        <f t="shared" si="51"/>
        <v>18136.60460081567</v>
      </c>
      <c r="H851" s="953">
        <f t="shared" si="52"/>
        <v>18136.60460081567</v>
      </c>
      <c r="I851" s="512">
        <f t="shared" si="49"/>
        <v>0</v>
      </c>
      <c r="J851" s="512"/>
      <c r="K851" s="649"/>
      <c r="L851" s="518"/>
      <c r="M851" s="649"/>
      <c r="N851" s="518"/>
      <c r="O851" s="518"/>
    </row>
    <row r="852" spans="3:15">
      <c r="C852" s="508">
        <f>IF(D809="","-",+C851+1)</f>
        <v>2051</v>
      </c>
      <c r="D852" s="471">
        <f t="shared" si="50"/>
        <v>61757.738095237837</v>
      </c>
      <c r="E852" s="515">
        <f t="shared" si="53"/>
        <v>10740.476190476191</v>
      </c>
      <c r="F852" s="471">
        <f t="shared" si="48"/>
        <v>51017.261904761646</v>
      </c>
      <c r="G852" s="950">
        <f t="shared" si="51"/>
        <v>16953.22405516135</v>
      </c>
      <c r="H852" s="953">
        <f t="shared" si="52"/>
        <v>16953.22405516135</v>
      </c>
      <c r="I852" s="512">
        <f t="shared" si="49"/>
        <v>0</v>
      </c>
      <c r="J852" s="512"/>
      <c r="K852" s="649"/>
      <c r="L852" s="518"/>
      <c r="M852" s="649"/>
      <c r="N852" s="518"/>
      <c r="O852" s="518"/>
    </row>
    <row r="853" spans="3:15">
      <c r="C853" s="508">
        <f>IF(D809="","-",+C852+1)</f>
        <v>2052</v>
      </c>
      <c r="D853" s="471">
        <f t="shared" si="50"/>
        <v>51017.261904761646</v>
      </c>
      <c r="E853" s="515">
        <f t="shared" si="53"/>
        <v>10740.476190476191</v>
      </c>
      <c r="F853" s="471">
        <f t="shared" si="48"/>
        <v>40276.785714285455</v>
      </c>
      <c r="G853" s="950">
        <f t="shared" si="51"/>
        <v>15769.843509507027</v>
      </c>
      <c r="H853" s="953">
        <f t="shared" si="52"/>
        <v>15769.843509507027</v>
      </c>
      <c r="I853" s="512">
        <f t="shared" si="49"/>
        <v>0</v>
      </c>
      <c r="J853" s="512"/>
      <c r="K853" s="649"/>
      <c r="L853" s="518"/>
      <c r="M853" s="649"/>
      <c r="N853" s="518"/>
      <c r="O853" s="518"/>
    </row>
    <row r="854" spans="3:15">
      <c r="C854" s="508">
        <f>IF(D809="","-",+C853+1)</f>
        <v>2053</v>
      </c>
      <c r="D854" s="471">
        <f t="shared" si="50"/>
        <v>40276.785714285455</v>
      </c>
      <c r="E854" s="515">
        <f t="shared" si="53"/>
        <v>10740.476190476191</v>
      </c>
      <c r="F854" s="471">
        <f t="shared" si="48"/>
        <v>29536.309523809265</v>
      </c>
      <c r="G854" s="950">
        <f t="shared" si="51"/>
        <v>14586.462963852706</v>
      </c>
      <c r="H854" s="953">
        <f t="shared" si="52"/>
        <v>14586.462963852706</v>
      </c>
      <c r="I854" s="512">
        <f t="shared" si="49"/>
        <v>0</v>
      </c>
      <c r="J854" s="512"/>
      <c r="K854" s="649"/>
      <c r="L854" s="518"/>
      <c r="M854" s="649"/>
      <c r="N854" s="518"/>
      <c r="O854" s="518"/>
    </row>
    <row r="855" spans="3:15">
      <c r="C855" s="508">
        <f>IF(D809="","-",+C854+1)</f>
        <v>2054</v>
      </c>
      <c r="D855" s="471">
        <f t="shared" si="50"/>
        <v>29536.309523809265</v>
      </c>
      <c r="E855" s="515">
        <f t="shared" si="53"/>
        <v>10740.476190476191</v>
      </c>
      <c r="F855" s="471">
        <f t="shared" si="48"/>
        <v>18795.833333333074</v>
      </c>
      <c r="G855" s="950">
        <f t="shared" si="51"/>
        <v>13403.082418198384</v>
      </c>
      <c r="H855" s="953">
        <f t="shared" si="52"/>
        <v>13403.082418198384</v>
      </c>
      <c r="I855" s="512">
        <f t="shared" si="49"/>
        <v>0</v>
      </c>
      <c r="J855" s="512"/>
      <c r="K855" s="649"/>
      <c r="L855" s="518"/>
      <c r="M855" s="649"/>
      <c r="N855" s="518"/>
      <c r="O855" s="518"/>
    </row>
    <row r="856" spans="3:15">
      <c r="C856" s="508">
        <f>IF(D809="","-",+C855+1)</f>
        <v>2055</v>
      </c>
      <c r="D856" s="471">
        <f t="shared" si="50"/>
        <v>18795.833333333074</v>
      </c>
      <c r="E856" s="515">
        <f t="shared" si="53"/>
        <v>10740.476190476191</v>
      </c>
      <c r="F856" s="471">
        <f t="shared" si="48"/>
        <v>8055.357142856883</v>
      </c>
      <c r="G856" s="950">
        <f t="shared" si="51"/>
        <v>12219.701872544065</v>
      </c>
      <c r="H856" s="953">
        <f t="shared" si="52"/>
        <v>12219.701872544065</v>
      </c>
      <c r="I856" s="512">
        <f t="shared" si="49"/>
        <v>0</v>
      </c>
      <c r="J856" s="512"/>
      <c r="K856" s="649"/>
      <c r="L856" s="518"/>
      <c r="M856" s="649"/>
      <c r="N856" s="518"/>
      <c r="O856" s="518"/>
    </row>
    <row r="857" spans="3:15">
      <c r="C857" s="508">
        <f>IF(D809="","-",+C856+1)</f>
        <v>2056</v>
      </c>
      <c r="D857" s="471">
        <f t="shared" si="50"/>
        <v>8055.357142856883</v>
      </c>
      <c r="E857" s="515">
        <f t="shared" si="53"/>
        <v>8055.357142856883</v>
      </c>
      <c r="F857" s="471">
        <f t="shared" si="48"/>
        <v>0</v>
      </c>
      <c r="G857" s="950">
        <f t="shared" si="51"/>
        <v>8499.1248474772401</v>
      </c>
      <c r="H857" s="953">
        <f t="shared" si="52"/>
        <v>8499.1248474772401</v>
      </c>
      <c r="I857" s="512">
        <f t="shared" si="49"/>
        <v>0</v>
      </c>
      <c r="J857" s="512"/>
      <c r="K857" s="649"/>
      <c r="L857" s="518"/>
      <c r="M857" s="649"/>
      <c r="N857" s="518"/>
      <c r="O857" s="518"/>
    </row>
    <row r="858" spans="3:15">
      <c r="C858" s="508">
        <f>IF(D809="","-",+C857+1)</f>
        <v>2057</v>
      </c>
      <c r="D858" s="471">
        <f t="shared" si="50"/>
        <v>0</v>
      </c>
      <c r="E858" s="515">
        <f t="shared" si="53"/>
        <v>0</v>
      </c>
      <c r="F858" s="471">
        <f t="shared" si="48"/>
        <v>0</v>
      </c>
      <c r="G858" s="950">
        <f t="shared" si="51"/>
        <v>0</v>
      </c>
      <c r="H858" s="953">
        <f t="shared" si="52"/>
        <v>0</v>
      </c>
      <c r="I858" s="512">
        <f t="shared" si="49"/>
        <v>0</v>
      </c>
      <c r="J858" s="512"/>
      <c r="K858" s="649"/>
      <c r="L858" s="518"/>
      <c r="M858" s="649"/>
      <c r="N858" s="518"/>
      <c r="O858" s="518"/>
    </row>
    <row r="859" spans="3:15">
      <c r="C859" s="508">
        <f>IF(D809="","-",+C858+1)</f>
        <v>2058</v>
      </c>
      <c r="D859" s="471">
        <f t="shared" si="50"/>
        <v>0</v>
      </c>
      <c r="E859" s="515">
        <f t="shared" si="53"/>
        <v>0</v>
      </c>
      <c r="F859" s="471">
        <f t="shared" si="48"/>
        <v>0</v>
      </c>
      <c r="G859" s="950">
        <f t="shared" si="51"/>
        <v>0</v>
      </c>
      <c r="H859" s="953">
        <f t="shared" si="52"/>
        <v>0</v>
      </c>
      <c r="I859" s="512">
        <f t="shared" si="49"/>
        <v>0</v>
      </c>
      <c r="J859" s="512"/>
      <c r="K859" s="649"/>
      <c r="L859" s="518"/>
      <c r="M859" s="649"/>
      <c r="N859" s="518"/>
      <c r="O859" s="518"/>
    </row>
    <row r="860" spans="3:15">
      <c r="C860" s="508">
        <f>IF(D809="","-",+C859+1)</f>
        <v>2059</v>
      </c>
      <c r="D860" s="471">
        <f t="shared" si="50"/>
        <v>0</v>
      </c>
      <c r="E860" s="515">
        <f t="shared" si="53"/>
        <v>0</v>
      </c>
      <c r="F860" s="471">
        <f t="shared" si="48"/>
        <v>0</v>
      </c>
      <c r="G860" s="950">
        <f t="shared" si="51"/>
        <v>0</v>
      </c>
      <c r="H860" s="953">
        <f t="shared" si="52"/>
        <v>0</v>
      </c>
      <c r="I860" s="512">
        <f t="shared" si="49"/>
        <v>0</v>
      </c>
      <c r="J860" s="512"/>
      <c r="K860" s="649"/>
      <c r="L860" s="518"/>
      <c r="M860" s="649"/>
      <c r="N860" s="518"/>
      <c r="O860" s="518"/>
    </row>
    <row r="861" spans="3:15">
      <c r="C861" s="508">
        <f>IF(D809="","-",+C860+1)</f>
        <v>2060</v>
      </c>
      <c r="D861" s="471">
        <f t="shared" si="50"/>
        <v>0</v>
      </c>
      <c r="E861" s="515">
        <f t="shared" si="53"/>
        <v>0</v>
      </c>
      <c r="F861" s="471">
        <f t="shared" si="48"/>
        <v>0</v>
      </c>
      <c r="G861" s="950">
        <f t="shared" si="51"/>
        <v>0</v>
      </c>
      <c r="H861" s="953">
        <f t="shared" si="52"/>
        <v>0</v>
      </c>
      <c r="I861" s="512">
        <f t="shared" si="49"/>
        <v>0</v>
      </c>
      <c r="J861" s="512"/>
      <c r="K861" s="649"/>
      <c r="L861" s="518"/>
      <c r="M861" s="649"/>
      <c r="N861" s="518"/>
      <c r="O861" s="518"/>
    </row>
    <row r="862" spans="3:15">
      <c r="C862" s="508">
        <f>IF(D809="","-",+C861+1)</f>
        <v>2061</v>
      </c>
      <c r="D862" s="471">
        <f t="shared" si="50"/>
        <v>0</v>
      </c>
      <c r="E862" s="515">
        <f t="shared" si="53"/>
        <v>0</v>
      </c>
      <c r="F862" s="471">
        <f t="shared" si="48"/>
        <v>0</v>
      </c>
      <c r="G862" s="950">
        <f t="shared" si="51"/>
        <v>0</v>
      </c>
      <c r="H862" s="953">
        <f t="shared" si="52"/>
        <v>0</v>
      </c>
      <c r="I862" s="512">
        <f t="shared" si="49"/>
        <v>0</v>
      </c>
      <c r="J862" s="512"/>
      <c r="K862" s="649"/>
      <c r="L862" s="518"/>
      <c r="M862" s="649"/>
      <c r="N862" s="518"/>
      <c r="O862" s="518"/>
    </row>
    <row r="863" spans="3:15">
      <c r="C863" s="508">
        <f>IF(D809="","-",+C862+1)</f>
        <v>2062</v>
      </c>
      <c r="D863" s="471">
        <f t="shared" si="50"/>
        <v>0</v>
      </c>
      <c r="E863" s="515">
        <f t="shared" si="53"/>
        <v>0</v>
      </c>
      <c r="F863" s="471">
        <f t="shared" si="48"/>
        <v>0</v>
      </c>
      <c r="G863" s="950">
        <f t="shared" si="51"/>
        <v>0</v>
      </c>
      <c r="H863" s="953">
        <f t="shared" si="52"/>
        <v>0</v>
      </c>
      <c r="I863" s="512">
        <f t="shared" si="49"/>
        <v>0</v>
      </c>
      <c r="J863" s="512"/>
      <c r="K863" s="649"/>
      <c r="L863" s="518"/>
      <c r="M863" s="649"/>
      <c r="N863" s="518"/>
      <c r="O863" s="518"/>
    </row>
    <row r="864" spans="3:15">
      <c r="C864" s="508">
        <f>IF(D809="","-",+C863+1)</f>
        <v>2063</v>
      </c>
      <c r="D864" s="471">
        <f t="shared" si="50"/>
        <v>0</v>
      </c>
      <c r="E864" s="515">
        <f t="shared" si="53"/>
        <v>0</v>
      </c>
      <c r="F864" s="471">
        <f t="shared" si="48"/>
        <v>0</v>
      </c>
      <c r="G864" s="950">
        <f t="shared" si="51"/>
        <v>0</v>
      </c>
      <c r="H864" s="953">
        <f t="shared" si="52"/>
        <v>0</v>
      </c>
      <c r="I864" s="512">
        <f t="shared" si="49"/>
        <v>0</v>
      </c>
      <c r="J864" s="512"/>
      <c r="K864" s="649"/>
      <c r="L864" s="518"/>
      <c r="M864" s="649"/>
      <c r="N864" s="518"/>
      <c r="O864" s="518"/>
    </row>
    <row r="865" spans="3:15">
      <c r="C865" s="508">
        <f>IF(D809="","-",+C864+1)</f>
        <v>2064</v>
      </c>
      <c r="D865" s="471">
        <f t="shared" si="50"/>
        <v>0</v>
      </c>
      <c r="E865" s="515">
        <f t="shared" si="53"/>
        <v>0</v>
      </c>
      <c r="F865" s="471">
        <f t="shared" si="48"/>
        <v>0</v>
      </c>
      <c r="G865" s="950">
        <f t="shared" si="51"/>
        <v>0</v>
      </c>
      <c r="H865" s="953">
        <f t="shared" si="52"/>
        <v>0</v>
      </c>
      <c r="I865" s="512">
        <f t="shared" si="49"/>
        <v>0</v>
      </c>
      <c r="J865" s="512"/>
      <c r="K865" s="649"/>
      <c r="L865" s="518"/>
      <c r="M865" s="649"/>
      <c r="N865" s="518"/>
      <c r="O865" s="518"/>
    </row>
    <row r="866" spans="3:15">
      <c r="C866" s="508">
        <f>IF(D809="","-",+C865+1)</f>
        <v>2065</v>
      </c>
      <c r="D866" s="471">
        <f t="shared" si="50"/>
        <v>0</v>
      </c>
      <c r="E866" s="515">
        <f t="shared" si="53"/>
        <v>0</v>
      </c>
      <c r="F866" s="471">
        <f t="shared" si="48"/>
        <v>0</v>
      </c>
      <c r="G866" s="950">
        <f t="shared" si="51"/>
        <v>0</v>
      </c>
      <c r="H866" s="953">
        <f t="shared" si="52"/>
        <v>0</v>
      </c>
      <c r="I866" s="512">
        <f t="shared" si="49"/>
        <v>0</v>
      </c>
      <c r="J866" s="512"/>
      <c r="K866" s="649"/>
      <c r="L866" s="518"/>
      <c r="M866" s="649"/>
      <c r="N866" s="518"/>
      <c r="O866" s="518"/>
    </row>
    <row r="867" spans="3:15">
      <c r="C867" s="508">
        <f>IF(D809="","-",+C866+1)</f>
        <v>2066</v>
      </c>
      <c r="D867" s="471">
        <f t="shared" si="50"/>
        <v>0</v>
      </c>
      <c r="E867" s="515">
        <f t="shared" si="53"/>
        <v>0</v>
      </c>
      <c r="F867" s="471">
        <f t="shared" si="48"/>
        <v>0</v>
      </c>
      <c r="G867" s="950">
        <f t="shared" si="51"/>
        <v>0</v>
      </c>
      <c r="H867" s="953">
        <f t="shared" si="52"/>
        <v>0</v>
      </c>
      <c r="I867" s="512">
        <f t="shared" si="49"/>
        <v>0</v>
      </c>
      <c r="J867" s="512"/>
      <c r="K867" s="649"/>
      <c r="L867" s="518"/>
      <c r="M867" s="649"/>
      <c r="N867" s="518"/>
      <c r="O867" s="518"/>
    </row>
    <row r="868" spans="3:15">
      <c r="C868" s="508">
        <f>IF(D809="","-",+C867+1)</f>
        <v>2067</v>
      </c>
      <c r="D868" s="471">
        <f t="shared" si="50"/>
        <v>0</v>
      </c>
      <c r="E868" s="515">
        <f t="shared" si="53"/>
        <v>0</v>
      </c>
      <c r="F868" s="471">
        <f t="shared" si="48"/>
        <v>0</v>
      </c>
      <c r="G868" s="950">
        <f t="shared" si="51"/>
        <v>0</v>
      </c>
      <c r="H868" s="953">
        <f t="shared" si="52"/>
        <v>0</v>
      </c>
      <c r="I868" s="512">
        <f t="shared" si="49"/>
        <v>0</v>
      </c>
      <c r="J868" s="512"/>
      <c r="K868" s="649"/>
      <c r="L868" s="518"/>
      <c r="M868" s="649"/>
      <c r="N868" s="518"/>
      <c r="O868" s="518"/>
    </row>
    <row r="869" spans="3:15">
      <c r="C869" s="508">
        <f>IF(D809="","-",+C868+1)</f>
        <v>2068</v>
      </c>
      <c r="D869" s="471">
        <f t="shared" si="50"/>
        <v>0</v>
      </c>
      <c r="E869" s="515">
        <f t="shared" si="53"/>
        <v>0</v>
      </c>
      <c r="F869" s="471">
        <f t="shared" si="48"/>
        <v>0</v>
      </c>
      <c r="G869" s="950">
        <f t="shared" si="51"/>
        <v>0</v>
      </c>
      <c r="H869" s="953">
        <f t="shared" si="52"/>
        <v>0</v>
      </c>
      <c r="I869" s="512">
        <f t="shared" si="49"/>
        <v>0</v>
      </c>
      <c r="J869" s="512"/>
      <c r="K869" s="649"/>
      <c r="L869" s="518"/>
      <c r="M869" s="649"/>
      <c r="N869" s="518"/>
      <c r="O869" s="518"/>
    </row>
    <row r="870" spans="3:15">
      <c r="C870" s="508">
        <f>IF(D809="","-",+C869+1)</f>
        <v>2069</v>
      </c>
      <c r="D870" s="471">
        <f t="shared" si="50"/>
        <v>0</v>
      </c>
      <c r="E870" s="515">
        <f t="shared" si="53"/>
        <v>0</v>
      </c>
      <c r="F870" s="471">
        <f t="shared" si="48"/>
        <v>0</v>
      </c>
      <c r="G870" s="950">
        <f t="shared" si="51"/>
        <v>0</v>
      </c>
      <c r="H870" s="953">
        <f t="shared" si="52"/>
        <v>0</v>
      </c>
      <c r="I870" s="512">
        <f t="shared" si="49"/>
        <v>0</v>
      </c>
      <c r="J870" s="512"/>
      <c r="K870" s="649"/>
      <c r="L870" s="518"/>
      <c r="M870" s="649"/>
      <c r="N870" s="518"/>
      <c r="O870" s="518"/>
    </row>
    <row r="871" spans="3:15">
      <c r="C871" s="508">
        <f>IF(D809="","-",+C870+1)</f>
        <v>2070</v>
      </c>
      <c r="D871" s="471">
        <f t="shared" si="50"/>
        <v>0</v>
      </c>
      <c r="E871" s="515">
        <f t="shared" si="53"/>
        <v>0</v>
      </c>
      <c r="F871" s="471">
        <f t="shared" si="48"/>
        <v>0</v>
      </c>
      <c r="G871" s="950">
        <f t="shared" si="51"/>
        <v>0</v>
      </c>
      <c r="H871" s="953">
        <f t="shared" si="52"/>
        <v>0</v>
      </c>
      <c r="I871" s="512">
        <f t="shared" si="49"/>
        <v>0</v>
      </c>
      <c r="J871" s="512"/>
      <c r="K871" s="649"/>
      <c r="L871" s="518"/>
      <c r="M871" s="649"/>
      <c r="N871" s="518"/>
      <c r="O871" s="518"/>
    </row>
    <row r="872" spans="3:15">
      <c r="C872" s="508">
        <f>IF(D809="","-",+C871+1)</f>
        <v>2071</v>
      </c>
      <c r="D872" s="471">
        <f t="shared" si="50"/>
        <v>0</v>
      </c>
      <c r="E872" s="515">
        <f t="shared" si="53"/>
        <v>0</v>
      </c>
      <c r="F872" s="471">
        <f t="shared" si="48"/>
        <v>0</v>
      </c>
      <c r="G872" s="950">
        <f t="shared" si="51"/>
        <v>0</v>
      </c>
      <c r="H872" s="953">
        <f t="shared" si="52"/>
        <v>0</v>
      </c>
      <c r="I872" s="512">
        <f t="shared" si="49"/>
        <v>0</v>
      </c>
      <c r="J872" s="512"/>
      <c r="K872" s="649"/>
      <c r="L872" s="518"/>
      <c r="M872" s="649"/>
      <c r="N872" s="518"/>
      <c r="O872" s="518"/>
    </row>
    <row r="873" spans="3:15">
      <c r="C873" s="508">
        <f>IF(D809="","-",+C872+1)</f>
        <v>2072</v>
      </c>
      <c r="D873" s="471">
        <f t="shared" si="50"/>
        <v>0</v>
      </c>
      <c r="E873" s="515">
        <f t="shared" si="53"/>
        <v>0</v>
      </c>
      <c r="F873" s="471">
        <f t="shared" si="48"/>
        <v>0</v>
      </c>
      <c r="G873" s="950">
        <f t="shared" si="51"/>
        <v>0</v>
      </c>
      <c r="H873" s="953">
        <f t="shared" si="52"/>
        <v>0</v>
      </c>
      <c r="I873" s="512">
        <f t="shared" si="49"/>
        <v>0</v>
      </c>
      <c r="J873" s="512"/>
      <c r="K873" s="649"/>
      <c r="L873" s="518"/>
      <c r="M873" s="649"/>
      <c r="N873" s="518"/>
      <c r="O873" s="518"/>
    </row>
    <row r="874" spans="3:15" ht="13.5" thickBot="1">
      <c r="C874" s="520">
        <f>IF(D809="","-",+C873+1)</f>
        <v>2073</v>
      </c>
      <c r="D874" s="521">
        <f t="shared" si="50"/>
        <v>0</v>
      </c>
      <c r="E874" s="522">
        <f t="shared" si="53"/>
        <v>0</v>
      </c>
      <c r="F874" s="521">
        <f t="shared" si="48"/>
        <v>0</v>
      </c>
      <c r="G874" s="960">
        <f t="shared" si="51"/>
        <v>0</v>
      </c>
      <c r="H874" s="960">
        <f t="shared" si="52"/>
        <v>0</v>
      </c>
      <c r="I874" s="524">
        <f t="shared" si="49"/>
        <v>0</v>
      </c>
      <c r="J874" s="512"/>
      <c r="K874" s="650"/>
      <c r="L874" s="526"/>
      <c r="M874" s="650"/>
      <c r="N874" s="526"/>
      <c r="O874" s="526"/>
    </row>
    <row r="875" spans="3:15">
      <c r="C875" s="471" t="s">
        <v>288</v>
      </c>
      <c r="D875" s="931"/>
      <c r="E875" s="931">
        <f>SUM(E815:E874)</f>
        <v>451099.99999999994</v>
      </c>
      <c r="F875" s="931"/>
      <c r="G875" s="931">
        <f>SUM(G815:G874)</f>
        <v>1532118.1284552212</v>
      </c>
      <c r="H875" s="931">
        <f>SUM(H815:H874)</f>
        <v>1532118.1284552212</v>
      </c>
      <c r="I875" s="931">
        <f>SUM(I815:I874)</f>
        <v>0</v>
      </c>
      <c r="J875" s="931"/>
      <c r="K875" s="931"/>
      <c r="L875" s="931"/>
      <c r="M875" s="931"/>
      <c r="N875" s="931"/>
      <c r="O875" s="4"/>
    </row>
    <row r="876" spans="3:15">
      <c r="D876" s="78"/>
      <c r="E876" s="4"/>
      <c r="F876" s="4"/>
      <c r="G876" s="4"/>
      <c r="H876" s="930"/>
      <c r="I876" s="930"/>
      <c r="J876" s="931"/>
      <c r="K876" s="930"/>
      <c r="L876" s="930"/>
      <c r="M876" s="930"/>
      <c r="N876" s="930"/>
      <c r="O876" s="4"/>
    </row>
    <row r="877" spans="3:15">
      <c r="C877" s="4" t="s">
        <v>600</v>
      </c>
      <c r="D877" s="78"/>
      <c r="E877" s="4"/>
      <c r="F877" s="4"/>
      <c r="G877" s="4"/>
      <c r="H877" s="930"/>
      <c r="I877" s="930"/>
      <c r="J877" s="931"/>
      <c r="K877" s="930"/>
      <c r="L877" s="930"/>
      <c r="M877" s="930"/>
      <c r="N877" s="930"/>
      <c r="O877" s="4"/>
    </row>
    <row r="878" spans="3:15">
      <c r="D878" s="78"/>
      <c r="E878" s="4"/>
      <c r="F878" s="4"/>
      <c r="G878" s="4"/>
      <c r="H878" s="930"/>
      <c r="I878" s="930"/>
      <c r="J878" s="931"/>
      <c r="K878" s="930"/>
      <c r="L878" s="930"/>
      <c r="M878" s="930"/>
      <c r="N878" s="930"/>
      <c r="O878" s="4"/>
    </row>
    <row r="879" spans="3:15">
      <c r="C879" s="4" t="s">
        <v>601</v>
      </c>
      <c r="D879" s="471"/>
      <c r="E879" s="471"/>
      <c r="F879" s="471"/>
      <c r="G879" s="931"/>
      <c r="H879" s="931"/>
      <c r="I879" s="473"/>
      <c r="J879" s="473"/>
      <c r="K879" s="473"/>
      <c r="L879" s="473"/>
      <c r="M879" s="473"/>
      <c r="N879" s="473"/>
      <c r="O879" s="4"/>
    </row>
    <row r="880" spans="3:15">
      <c r="C880" s="4" t="s">
        <v>476</v>
      </c>
      <c r="D880" s="471"/>
      <c r="E880" s="471"/>
      <c r="F880" s="471"/>
      <c r="G880" s="931"/>
      <c r="H880" s="931"/>
      <c r="I880" s="473"/>
      <c r="J880" s="473"/>
      <c r="K880" s="473"/>
      <c r="L880" s="473"/>
      <c r="M880" s="473"/>
      <c r="N880" s="473"/>
      <c r="O880" s="4"/>
    </row>
    <row r="881" spans="1:16">
      <c r="C881" s="4" t="s">
        <v>289</v>
      </c>
      <c r="D881" s="471"/>
      <c r="E881" s="471"/>
      <c r="F881" s="471"/>
      <c r="G881" s="931"/>
      <c r="H881" s="931"/>
      <c r="I881" s="473"/>
      <c r="J881" s="473"/>
      <c r="K881" s="473"/>
      <c r="L881" s="473"/>
      <c r="M881" s="473"/>
      <c r="N881" s="473"/>
      <c r="O881" s="4"/>
    </row>
    <row r="882" spans="1:16">
      <c r="C882" s="472"/>
      <c r="D882" s="471"/>
      <c r="E882" s="471"/>
      <c r="F882" s="471"/>
      <c r="G882" s="931"/>
      <c r="H882" s="931"/>
      <c r="I882" s="473"/>
      <c r="J882" s="473"/>
      <c r="K882" s="473"/>
      <c r="L882" s="473"/>
      <c r="M882" s="473"/>
      <c r="N882" s="473"/>
      <c r="O882" s="4"/>
    </row>
    <row r="883" spans="1:16">
      <c r="C883" s="1303" t="s">
        <v>460</v>
      </c>
      <c r="D883" s="1303"/>
      <c r="E883" s="1303"/>
      <c r="F883" s="1303"/>
      <c r="G883" s="1303"/>
      <c r="H883" s="1303"/>
      <c r="I883" s="1303"/>
      <c r="J883" s="1303"/>
      <c r="K883" s="1303"/>
      <c r="L883" s="1303"/>
      <c r="M883" s="1303"/>
      <c r="N883" s="1303"/>
      <c r="O883" s="1303"/>
    </row>
    <row r="884" spans="1:16">
      <c r="C884" s="1303"/>
      <c r="D884" s="1303"/>
      <c r="E884" s="1303"/>
      <c r="F884" s="1303"/>
      <c r="G884" s="1303"/>
      <c r="H884" s="1303"/>
      <c r="I884" s="1303"/>
      <c r="J884" s="1303"/>
      <c r="K884" s="1303"/>
      <c r="L884" s="1303"/>
      <c r="M884" s="1303"/>
      <c r="N884" s="1303"/>
      <c r="O884" s="1303"/>
    </row>
    <row r="885" spans="1:16" ht="20.25">
      <c r="A885" s="413" t="s">
        <v>927</v>
      </c>
      <c r="B885" s="4"/>
      <c r="C885" s="4"/>
      <c r="D885" s="78"/>
      <c r="E885" s="4"/>
      <c r="F885" s="80"/>
      <c r="G885" s="4"/>
      <c r="H885" s="930"/>
      <c r="K885" s="11"/>
      <c r="L885" s="11"/>
      <c r="M885" s="11"/>
      <c r="N885" s="11" t="str">
        <f>"Page "&amp;SUM(P$6:P885)&amp;" of "</f>
        <v xml:space="preserve">Page 11 of </v>
      </c>
      <c r="O885" s="414">
        <f>COUNT(P$6:P$59606)</f>
        <v>14</v>
      </c>
      <c r="P885" s="4">
        <v>1</v>
      </c>
    </row>
    <row r="886" spans="1:16">
      <c r="B886" s="4"/>
      <c r="C886" s="4"/>
      <c r="D886" s="78"/>
      <c r="E886" s="4"/>
      <c r="F886" s="4"/>
      <c r="G886" s="4"/>
      <c r="H886" s="930"/>
      <c r="I886" s="4"/>
      <c r="J886" s="4"/>
      <c r="K886" s="4"/>
      <c r="L886" s="4"/>
      <c r="M886" s="4"/>
      <c r="N886" s="4"/>
      <c r="O886" s="4"/>
    </row>
    <row r="887" spans="1:16" ht="18">
      <c r="B887" s="415" t="s">
        <v>174</v>
      </c>
      <c r="C887" s="474" t="s">
        <v>290</v>
      </c>
      <c r="D887" s="78"/>
      <c r="E887" s="4"/>
      <c r="F887" s="4"/>
      <c r="G887" s="4"/>
      <c r="H887" s="930"/>
      <c r="I887" s="930"/>
      <c r="J887" s="931"/>
      <c r="K887" s="930"/>
      <c r="L887" s="930"/>
      <c r="M887" s="930"/>
      <c r="N887" s="930"/>
      <c r="O887" s="4"/>
    </row>
    <row r="888" spans="1:16" ht="18.75">
      <c r="B888" s="415"/>
      <c r="C888" s="13"/>
      <c r="D888" s="78"/>
      <c r="E888" s="4"/>
      <c r="F888" s="4"/>
      <c r="G888" s="4"/>
      <c r="H888" s="930"/>
      <c r="I888" s="930"/>
      <c r="J888" s="931"/>
      <c r="K888" s="930"/>
      <c r="L888" s="930"/>
      <c r="M888" s="930"/>
      <c r="N888" s="930"/>
      <c r="O888" s="4"/>
    </row>
    <row r="889" spans="1:16" ht="18.75">
      <c r="B889" s="415"/>
      <c r="C889" s="13" t="s">
        <v>291</v>
      </c>
      <c r="D889" s="78"/>
      <c r="E889" s="4"/>
      <c r="F889" s="4"/>
      <c r="G889" s="4"/>
      <c r="H889" s="930"/>
      <c r="I889" s="930"/>
      <c r="J889" s="931"/>
      <c r="K889" s="930"/>
      <c r="L889" s="930"/>
      <c r="M889" s="930"/>
      <c r="N889" s="930"/>
      <c r="O889" s="4"/>
    </row>
    <row r="890" spans="1:16" ht="15.75" thickBot="1">
      <c r="C890" s="250"/>
      <c r="D890" s="78"/>
      <c r="E890" s="4"/>
      <c r="F890" s="4"/>
      <c r="G890" s="4"/>
      <c r="H890" s="930"/>
      <c r="I890" s="930"/>
      <c r="J890" s="931"/>
      <c r="K890" s="930"/>
      <c r="L890" s="930"/>
      <c r="M890" s="930"/>
      <c r="N890" s="930"/>
      <c r="O890" s="4"/>
    </row>
    <row r="891" spans="1:16" ht="15.75">
      <c r="C891" s="416" t="s">
        <v>292</v>
      </c>
      <c r="D891" s="78"/>
      <c r="E891" s="4"/>
      <c r="F891" s="4"/>
      <c r="G891" s="932"/>
      <c r="H891" s="4" t="s">
        <v>271</v>
      </c>
      <c r="I891" s="4"/>
      <c r="J891" s="4"/>
      <c r="K891" s="475" t="s">
        <v>296</v>
      </c>
      <c r="L891" s="476"/>
      <c r="M891" s="477"/>
      <c r="N891" s="933">
        <f>VLOOKUP(I897,C904:O963,5)</f>
        <v>6211124.4508469207</v>
      </c>
      <c r="O891" s="4"/>
    </row>
    <row r="892" spans="1:16" ht="15.75">
      <c r="C892" s="416"/>
      <c r="D892" s="78"/>
      <c r="E892" s="4"/>
      <c r="F892" s="4"/>
      <c r="G892" s="4"/>
      <c r="H892" s="934"/>
      <c r="I892" s="934"/>
      <c r="J892" s="935"/>
      <c r="K892" s="480" t="s">
        <v>297</v>
      </c>
      <c r="L892" s="936"/>
      <c r="M892" s="4"/>
      <c r="N892" s="937">
        <f>VLOOKUP(I897,C904:O963,6)</f>
        <v>6211124.4508469207</v>
      </c>
      <c r="O892" s="4"/>
    </row>
    <row r="893" spans="1:16" ht="13.5" thickBot="1">
      <c r="C893" s="481" t="s">
        <v>293</v>
      </c>
      <c r="D893" s="1304" t="s">
        <v>938</v>
      </c>
      <c r="E893" s="1304"/>
      <c r="F893" s="1304"/>
      <c r="G893" s="1304"/>
      <c r="H893" s="1304"/>
      <c r="I893" s="930"/>
      <c r="J893" s="931"/>
      <c r="K893" s="938" t="s">
        <v>450</v>
      </c>
      <c r="L893" s="939"/>
      <c r="M893" s="939"/>
      <c r="N893" s="940">
        <f>+N892-N891</f>
        <v>0</v>
      </c>
      <c r="O893" s="4"/>
    </row>
    <row r="894" spans="1:16">
      <c r="C894" s="483"/>
      <c r="D894" s="484"/>
      <c r="E894" s="471"/>
      <c r="F894" s="471"/>
      <c r="G894" s="485"/>
      <c r="H894" s="930"/>
      <c r="I894" s="930"/>
      <c r="J894" s="931"/>
      <c r="K894" s="930"/>
      <c r="L894" s="930"/>
      <c r="M894" s="930"/>
      <c r="N894" s="930"/>
      <c r="O894" s="4"/>
    </row>
    <row r="895" spans="1:16" ht="13.5" thickBot="1">
      <c r="C895" s="483"/>
      <c r="D895" s="4"/>
      <c r="E895" s="485"/>
      <c r="F895" s="485"/>
      <c r="G895" s="485"/>
      <c r="H895" s="485"/>
      <c r="I895" s="485"/>
      <c r="J895" s="485"/>
      <c r="K895" s="485"/>
      <c r="L895" s="485"/>
      <c r="M895" s="485"/>
      <c r="N895" s="485"/>
      <c r="O895" s="4"/>
    </row>
    <row r="896" spans="1:16" ht="13.5" thickBot="1">
      <c r="C896" s="487" t="s">
        <v>294</v>
      </c>
      <c r="D896" s="488"/>
      <c r="E896" s="488"/>
      <c r="F896" s="488"/>
      <c r="G896" s="488"/>
      <c r="H896" s="488"/>
      <c r="I896" s="489"/>
      <c r="K896" s="4"/>
      <c r="L896" s="4"/>
      <c r="M896" s="4"/>
      <c r="N896" s="4"/>
      <c r="O896" s="4"/>
    </row>
    <row r="897" spans="1:15" ht="15">
      <c r="C897" s="490" t="s">
        <v>272</v>
      </c>
      <c r="D897" s="941">
        <v>48244590</v>
      </c>
      <c r="E897" s="4" t="s">
        <v>273</v>
      </c>
      <c r="G897" s="78"/>
      <c r="H897" s="78"/>
      <c r="I897" s="491">
        <v>2018</v>
      </c>
      <c r="J897" s="134"/>
      <c r="K897" s="1302" t="s">
        <v>459</v>
      </c>
      <c r="L897" s="1302"/>
      <c r="M897" s="1302"/>
      <c r="N897" s="1302"/>
      <c r="O897" s="1302"/>
    </row>
    <row r="898" spans="1:15">
      <c r="C898" s="490" t="s">
        <v>275</v>
      </c>
      <c r="D898" s="644">
        <v>2016</v>
      </c>
      <c r="E898" s="490" t="s">
        <v>276</v>
      </c>
      <c r="F898" s="78"/>
      <c r="H898"/>
      <c r="I898" s="647">
        <f>IF(G891="",0,$F$15)</f>
        <v>0</v>
      </c>
      <c r="J898" s="492"/>
      <c r="K898" s="931" t="s">
        <v>459</v>
      </c>
    </row>
    <row r="899" spans="1:15">
      <c r="C899" s="490" t="s">
        <v>277</v>
      </c>
      <c r="D899" s="942">
        <v>6</v>
      </c>
      <c r="E899" s="490" t="s">
        <v>278</v>
      </c>
      <c r="F899" s="78"/>
      <c r="H899"/>
      <c r="I899" s="493">
        <f>$G$70</f>
        <v>0.11017952320434825</v>
      </c>
      <c r="J899" s="80"/>
      <c r="K899" t="str">
        <f>"          INPUT PROJECTED ARR (WITH &amp; WITHOUT INCENTIVES) FROM EACH PRIOR YEAR"</f>
        <v xml:space="preserve">          INPUT PROJECTED ARR (WITH &amp; WITHOUT INCENTIVES) FROM EACH PRIOR YEAR</v>
      </c>
    </row>
    <row r="900" spans="1:15">
      <c r="C900" s="490" t="s">
        <v>279</v>
      </c>
      <c r="D900" s="494">
        <f>G$79</f>
        <v>42</v>
      </c>
      <c r="E900" s="490" t="s">
        <v>280</v>
      </c>
      <c r="F900" s="78"/>
      <c r="H900"/>
      <c r="I900" s="493">
        <f>IF(G891="",I899,$G$67)</f>
        <v>0.11017952320434825</v>
      </c>
      <c r="J900" s="80"/>
      <c r="K900" t="s">
        <v>357</v>
      </c>
    </row>
    <row r="901" spans="1:15" ht="13.5" thickBot="1">
      <c r="C901" s="490" t="s">
        <v>281</v>
      </c>
      <c r="D901" s="646" t="s">
        <v>929</v>
      </c>
      <c r="E901" s="495" t="s">
        <v>282</v>
      </c>
      <c r="F901" s="496"/>
      <c r="G901" s="497"/>
      <c r="H901" s="497"/>
      <c r="I901" s="940">
        <f>IF(D897=0,0,D897/D900)</f>
        <v>1148680.7142857143</v>
      </c>
      <c r="J901" s="931"/>
      <c r="K901" s="931" t="s">
        <v>363</v>
      </c>
      <c r="L901" s="931"/>
      <c r="M901" s="931"/>
      <c r="N901" s="931"/>
      <c r="O901" s="4"/>
    </row>
    <row r="902" spans="1:15" ht="51">
      <c r="A902" s="12"/>
      <c r="B902" s="12"/>
      <c r="C902" s="498" t="s">
        <v>272</v>
      </c>
      <c r="D902" s="943" t="s">
        <v>283</v>
      </c>
      <c r="E902" s="944" t="s">
        <v>284</v>
      </c>
      <c r="F902" s="943" t="s">
        <v>285</v>
      </c>
      <c r="G902" s="944" t="s">
        <v>356</v>
      </c>
      <c r="H902" s="945" t="s">
        <v>356</v>
      </c>
      <c r="I902" s="498" t="s">
        <v>295</v>
      </c>
      <c r="J902" s="502"/>
      <c r="K902" s="944" t="s">
        <v>365</v>
      </c>
      <c r="L902" s="946"/>
      <c r="M902" s="944" t="s">
        <v>365</v>
      </c>
      <c r="N902" s="946"/>
      <c r="O902" s="946"/>
    </row>
    <row r="903" spans="1:15" ht="13.5" thickBot="1">
      <c r="C903" s="503" t="s">
        <v>177</v>
      </c>
      <c r="D903" s="504" t="s">
        <v>178</v>
      </c>
      <c r="E903" s="503" t="s">
        <v>37</v>
      </c>
      <c r="F903" s="504" t="s">
        <v>178</v>
      </c>
      <c r="G903" s="947" t="s">
        <v>298</v>
      </c>
      <c r="H903" s="948" t="s">
        <v>300</v>
      </c>
      <c r="I903" s="503" t="s">
        <v>389</v>
      </c>
      <c r="J903" s="507"/>
      <c r="K903" s="947" t="s">
        <v>287</v>
      </c>
      <c r="L903" s="949"/>
      <c r="M903" s="947" t="s">
        <v>300</v>
      </c>
      <c r="N903" s="949"/>
      <c r="O903" s="949"/>
    </row>
    <row r="904" spans="1:15">
      <c r="C904" s="508">
        <f>IF(D898= "","-",D898)</f>
        <v>2016</v>
      </c>
      <c r="D904" s="471">
        <f>+D897</f>
        <v>48244590</v>
      </c>
      <c r="E904" s="950">
        <f>+I901/12*(12-D899)</f>
        <v>574340.35714285716</v>
      </c>
      <c r="F904" s="471">
        <f t="shared" ref="F904:F963" si="54">+D904-E904</f>
        <v>47670249.642857142</v>
      </c>
      <c r="G904" s="951">
        <f>+$I$899*((D904+F904)/2)+E904</f>
        <v>5858266.0071786167</v>
      </c>
      <c r="H904" s="952">
        <f>+$I$900*((D904+F904)/2)+E904</f>
        <v>5858266.0071786167</v>
      </c>
      <c r="I904" s="512">
        <f t="shared" ref="I904:I963" si="55">+H904-G904</f>
        <v>0</v>
      </c>
      <c r="J904" s="512"/>
      <c r="K904" s="648">
        <v>5862811</v>
      </c>
      <c r="L904" s="514"/>
      <c r="M904" s="648">
        <v>5862811</v>
      </c>
      <c r="N904" s="514"/>
      <c r="O904" s="514"/>
    </row>
    <row r="905" spans="1:15">
      <c r="C905" s="508">
        <f>IF(D898="","-",+C904+1)</f>
        <v>2017</v>
      </c>
      <c r="D905" s="471">
        <f t="shared" ref="D905:D963" si="56">F904</f>
        <v>47670249.642857142</v>
      </c>
      <c r="E905" s="515">
        <f>IF(D905&gt;$I$901,$I$901,D905)</f>
        <v>1148680.7142857143</v>
      </c>
      <c r="F905" s="471">
        <f t="shared" si="54"/>
        <v>46521568.928571425</v>
      </c>
      <c r="G905" s="950">
        <f t="shared" ref="G905:G963" si="57">+$I$899*((D905+F905)/2)+E905</f>
        <v>6337685.5442609517</v>
      </c>
      <c r="H905" s="953">
        <f t="shared" ref="H905:H963" si="58">+$I$900*((D905+F905)/2)+E905</f>
        <v>6337685.5442609517</v>
      </c>
      <c r="I905" s="512">
        <f t="shared" si="55"/>
        <v>0</v>
      </c>
      <c r="J905" s="512"/>
      <c r="K905" s="649">
        <v>3438786</v>
      </c>
      <c r="L905" s="518"/>
      <c r="M905" s="649">
        <v>3438786</v>
      </c>
      <c r="N905" s="518"/>
      <c r="O905" s="518"/>
    </row>
    <row r="906" spans="1:15">
      <c r="C906" s="954">
        <f>IF(D898="","-",+C905+1)</f>
        <v>2018</v>
      </c>
      <c r="D906" s="955">
        <f t="shared" si="56"/>
        <v>46521568.928571425</v>
      </c>
      <c r="E906" s="956">
        <f t="shared" ref="E906:E963" si="59">IF(D906&gt;$I$901,$I$901,D906)</f>
        <v>1148680.7142857143</v>
      </c>
      <c r="F906" s="955">
        <f t="shared" si="54"/>
        <v>45372888.214285709</v>
      </c>
      <c r="G906" s="957">
        <f t="shared" si="57"/>
        <v>6211124.4508469207</v>
      </c>
      <c r="H906" s="958">
        <f t="shared" si="58"/>
        <v>6211124.4508469207</v>
      </c>
      <c r="I906" s="964">
        <f t="shared" si="55"/>
        <v>0</v>
      </c>
      <c r="J906" s="977"/>
      <c r="K906" s="975"/>
      <c r="L906" s="963"/>
      <c r="M906" s="975"/>
      <c r="N906" s="518"/>
      <c r="O906" s="518"/>
    </row>
    <row r="907" spans="1:15">
      <c r="C907" s="508">
        <f>IF(D898="","-",+C906+1)</f>
        <v>2019</v>
      </c>
      <c r="D907" s="471">
        <f t="shared" si="56"/>
        <v>45372888.214285709</v>
      </c>
      <c r="E907" s="515">
        <f t="shared" si="59"/>
        <v>1148680.7142857143</v>
      </c>
      <c r="F907" s="471">
        <f t="shared" si="54"/>
        <v>44224207.499999993</v>
      </c>
      <c r="G907" s="950">
        <f t="shared" si="57"/>
        <v>6084563.3574328907</v>
      </c>
      <c r="H907" s="953">
        <f t="shared" si="58"/>
        <v>6084563.3574328907</v>
      </c>
      <c r="I907" s="512">
        <f t="shared" si="55"/>
        <v>0</v>
      </c>
      <c r="J907" s="512"/>
      <c r="K907" s="649"/>
      <c r="L907" s="518"/>
      <c r="M907" s="649"/>
      <c r="N907" s="518"/>
      <c r="O907" s="518"/>
    </row>
    <row r="908" spans="1:15">
      <c r="C908" s="508">
        <f>IF(D898="","-",+C907+1)</f>
        <v>2020</v>
      </c>
      <c r="D908" s="471">
        <f t="shared" si="56"/>
        <v>44224207.499999993</v>
      </c>
      <c r="E908" s="515">
        <f t="shared" si="59"/>
        <v>1148680.7142857143</v>
      </c>
      <c r="F908" s="471">
        <f t="shared" si="54"/>
        <v>43075526.785714276</v>
      </c>
      <c r="G908" s="950">
        <f t="shared" si="57"/>
        <v>5958002.2640188606</v>
      </c>
      <c r="H908" s="953">
        <f t="shared" si="58"/>
        <v>5958002.2640188606</v>
      </c>
      <c r="I908" s="512">
        <f t="shared" si="55"/>
        <v>0</v>
      </c>
      <c r="J908" s="512"/>
      <c r="K908" s="649"/>
      <c r="L908" s="518"/>
      <c r="M908" s="649"/>
      <c r="N908" s="518"/>
      <c r="O908" s="518"/>
    </row>
    <row r="909" spans="1:15">
      <c r="C909" s="508">
        <f>IF(D898="","-",+C908+1)</f>
        <v>2021</v>
      </c>
      <c r="D909" s="471">
        <f t="shared" si="56"/>
        <v>43075526.785714276</v>
      </c>
      <c r="E909" s="515">
        <f t="shared" si="59"/>
        <v>1148680.7142857143</v>
      </c>
      <c r="F909" s="471">
        <f t="shared" si="54"/>
        <v>41926846.07142856</v>
      </c>
      <c r="G909" s="950">
        <f t="shared" si="57"/>
        <v>5831441.1706048297</v>
      </c>
      <c r="H909" s="953">
        <f t="shared" si="58"/>
        <v>5831441.1706048297</v>
      </c>
      <c r="I909" s="512">
        <f t="shared" si="55"/>
        <v>0</v>
      </c>
      <c r="J909" s="512"/>
      <c r="K909" s="649"/>
      <c r="L909" s="518"/>
      <c r="M909" s="649"/>
      <c r="N909" s="518"/>
      <c r="O909" s="518"/>
    </row>
    <row r="910" spans="1:15">
      <c r="C910" s="508">
        <f>IF(D898="","-",+C909+1)</f>
        <v>2022</v>
      </c>
      <c r="D910" s="471">
        <f t="shared" si="56"/>
        <v>41926846.07142856</v>
      </c>
      <c r="E910" s="515">
        <f t="shared" si="59"/>
        <v>1148680.7142857143</v>
      </c>
      <c r="F910" s="471">
        <f t="shared" si="54"/>
        <v>40778165.357142843</v>
      </c>
      <c r="G910" s="950">
        <f t="shared" si="57"/>
        <v>5704880.0771907996</v>
      </c>
      <c r="H910" s="953">
        <f t="shared" si="58"/>
        <v>5704880.0771907996</v>
      </c>
      <c r="I910" s="512">
        <f t="shared" si="55"/>
        <v>0</v>
      </c>
      <c r="J910" s="512"/>
      <c r="K910" s="649"/>
      <c r="L910" s="518"/>
      <c r="M910" s="649"/>
      <c r="N910" s="518"/>
      <c r="O910" s="518"/>
    </row>
    <row r="911" spans="1:15">
      <c r="C911" s="508">
        <f>IF(D898="","-",+C910+1)</f>
        <v>2023</v>
      </c>
      <c r="D911" s="471">
        <f t="shared" si="56"/>
        <v>40778165.357142843</v>
      </c>
      <c r="E911" s="515">
        <f t="shared" si="59"/>
        <v>1148680.7142857143</v>
      </c>
      <c r="F911" s="471">
        <f t="shared" si="54"/>
        <v>39629484.642857127</v>
      </c>
      <c r="G911" s="950">
        <f t="shared" si="57"/>
        <v>5578318.9837767687</v>
      </c>
      <c r="H911" s="953">
        <f t="shared" si="58"/>
        <v>5578318.9837767687</v>
      </c>
      <c r="I911" s="512">
        <f t="shared" si="55"/>
        <v>0</v>
      </c>
      <c r="J911" s="512"/>
      <c r="K911" s="649"/>
      <c r="L911" s="518"/>
      <c r="M911" s="649"/>
      <c r="N911" s="518"/>
      <c r="O911" s="518"/>
    </row>
    <row r="912" spans="1:15">
      <c r="C912" s="508">
        <f>IF(D898="","-",+C911+1)</f>
        <v>2024</v>
      </c>
      <c r="D912" s="471">
        <f t="shared" si="56"/>
        <v>39629484.642857127</v>
      </c>
      <c r="E912" s="515">
        <f t="shared" si="59"/>
        <v>1148680.7142857143</v>
      </c>
      <c r="F912" s="471">
        <f t="shared" si="54"/>
        <v>38480803.92857141</v>
      </c>
      <c r="G912" s="950">
        <f t="shared" si="57"/>
        <v>5451757.8903627386</v>
      </c>
      <c r="H912" s="953">
        <f t="shared" si="58"/>
        <v>5451757.8903627386</v>
      </c>
      <c r="I912" s="512">
        <f t="shared" si="55"/>
        <v>0</v>
      </c>
      <c r="J912" s="512"/>
      <c r="K912" s="649"/>
      <c r="L912" s="518"/>
      <c r="M912" s="649"/>
      <c r="N912" s="518"/>
      <c r="O912" s="518"/>
    </row>
    <row r="913" spans="3:15">
      <c r="C913" s="508">
        <f>IF(D898="","-",+C912+1)</f>
        <v>2025</v>
      </c>
      <c r="D913" s="471">
        <f t="shared" si="56"/>
        <v>38480803.92857141</v>
      </c>
      <c r="E913" s="515">
        <f t="shared" si="59"/>
        <v>1148680.7142857143</v>
      </c>
      <c r="F913" s="471">
        <f t="shared" si="54"/>
        <v>37332123.214285694</v>
      </c>
      <c r="G913" s="950">
        <f t="shared" si="57"/>
        <v>5325196.7969487077</v>
      </c>
      <c r="H913" s="953">
        <f t="shared" si="58"/>
        <v>5325196.7969487077</v>
      </c>
      <c r="I913" s="512">
        <f t="shared" si="55"/>
        <v>0</v>
      </c>
      <c r="J913" s="512"/>
      <c r="K913" s="649"/>
      <c r="L913" s="518"/>
      <c r="M913" s="649"/>
      <c r="N913" s="518"/>
      <c r="O913" s="518"/>
    </row>
    <row r="914" spans="3:15">
      <c r="C914" s="508">
        <f>IF(D898="","-",+C913+1)</f>
        <v>2026</v>
      </c>
      <c r="D914" s="471">
        <f t="shared" si="56"/>
        <v>37332123.214285694</v>
      </c>
      <c r="E914" s="515">
        <f t="shared" si="59"/>
        <v>1148680.7142857143</v>
      </c>
      <c r="F914" s="471">
        <f t="shared" si="54"/>
        <v>36183442.499999978</v>
      </c>
      <c r="G914" s="950">
        <f t="shared" si="57"/>
        <v>5198635.7035346776</v>
      </c>
      <c r="H914" s="953">
        <f t="shared" si="58"/>
        <v>5198635.7035346776</v>
      </c>
      <c r="I914" s="512">
        <f t="shared" si="55"/>
        <v>0</v>
      </c>
      <c r="J914" s="512"/>
      <c r="K914" s="649"/>
      <c r="L914" s="518"/>
      <c r="M914" s="649"/>
      <c r="N914" s="518"/>
      <c r="O914" s="518"/>
    </row>
    <row r="915" spans="3:15">
      <c r="C915" s="508">
        <f>IF(D898="","-",+C914+1)</f>
        <v>2027</v>
      </c>
      <c r="D915" s="471">
        <f t="shared" si="56"/>
        <v>36183442.499999978</v>
      </c>
      <c r="E915" s="515">
        <f t="shared" si="59"/>
        <v>1148680.7142857143</v>
      </c>
      <c r="F915" s="471">
        <f t="shared" si="54"/>
        <v>35034761.785714261</v>
      </c>
      <c r="G915" s="950">
        <f t="shared" si="57"/>
        <v>5072074.6101206476</v>
      </c>
      <c r="H915" s="953">
        <f t="shared" si="58"/>
        <v>5072074.6101206476</v>
      </c>
      <c r="I915" s="512">
        <f t="shared" si="55"/>
        <v>0</v>
      </c>
      <c r="J915" s="512"/>
      <c r="K915" s="649"/>
      <c r="L915" s="518"/>
      <c r="M915" s="649"/>
      <c r="N915" s="518"/>
      <c r="O915" s="518"/>
    </row>
    <row r="916" spans="3:15">
      <c r="C916" s="508">
        <f>IF(D898="","-",+C915+1)</f>
        <v>2028</v>
      </c>
      <c r="D916" s="471">
        <f t="shared" si="56"/>
        <v>35034761.785714261</v>
      </c>
      <c r="E916" s="515">
        <f t="shared" si="59"/>
        <v>1148680.7142857143</v>
      </c>
      <c r="F916" s="471">
        <f t="shared" si="54"/>
        <v>33886081.071428545</v>
      </c>
      <c r="G916" s="950">
        <f t="shared" si="57"/>
        <v>4945513.5167066166</v>
      </c>
      <c r="H916" s="953">
        <f t="shared" si="58"/>
        <v>4945513.5167066166</v>
      </c>
      <c r="I916" s="512">
        <f t="shared" si="55"/>
        <v>0</v>
      </c>
      <c r="J916" s="512"/>
      <c r="K916" s="649"/>
      <c r="L916" s="518"/>
      <c r="M916" s="649"/>
      <c r="N916" s="519"/>
      <c r="O916" s="518"/>
    </row>
    <row r="917" spans="3:15">
      <c r="C917" s="508">
        <f>IF(D898="","-",+C916+1)</f>
        <v>2029</v>
      </c>
      <c r="D917" s="471">
        <f t="shared" si="56"/>
        <v>33886081.071428545</v>
      </c>
      <c r="E917" s="515">
        <f t="shared" si="59"/>
        <v>1148680.7142857143</v>
      </c>
      <c r="F917" s="471">
        <f t="shared" si="54"/>
        <v>32737400.357142832</v>
      </c>
      <c r="G917" s="950">
        <f t="shared" si="57"/>
        <v>4818952.4232925866</v>
      </c>
      <c r="H917" s="953">
        <f t="shared" si="58"/>
        <v>4818952.4232925866</v>
      </c>
      <c r="I917" s="512">
        <f t="shared" si="55"/>
        <v>0</v>
      </c>
      <c r="J917" s="512"/>
      <c r="K917" s="649"/>
      <c r="L917" s="518"/>
      <c r="M917" s="649"/>
      <c r="N917" s="518"/>
      <c r="O917" s="518"/>
    </row>
    <row r="918" spans="3:15">
      <c r="C918" s="508">
        <f>IF(D898="","-",+C917+1)</f>
        <v>2030</v>
      </c>
      <c r="D918" s="471">
        <f t="shared" si="56"/>
        <v>32737400.357142832</v>
      </c>
      <c r="E918" s="515">
        <f t="shared" si="59"/>
        <v>1148680.7142857143</v>
      </c>
      <c r="F918" s="471">
        <f t="shared" si="54"/>
        <v>31588719.642857119</v>
      </c>
      <c r="G918" s="950">
        <f t="shared" si="57"/>
        <v>4692391.3298785565</v>
      </c>
      <c r="H918" s="953">
        <f t="shared" si="58"/>
        <v>4692391.3298785565</v>
      </c>
      <c r="I918" s="512">
        <f t="shared" si="55"/>
        <v>0</v>
      </c>
      <c r="J918" s="512"/>
      <c r="K918" s="649"/>
      <c r="L918" s="518"/>
      <c r="M918" s="649"/>
      <c r="N918" s="518"/>
      <c r="O918" s="518"/>
    </row>
    <row r="919" spans="3:15">
      <c r="C919" s="508">
        <f>IF(D898="","-",+C918+1)</f>
        <v>2031</v>
      </c>
      <c r="D919" s="471">
        <f t="shared" si="56"/>
        <v>31588719.642857119</v>
      </c>
      <c r="E919" s="515">
        <f t="shared" si="59"/>
        <v>1148680.7142857143</v>
      </c>
      <c r="F919" s="471">
        <f t="shared" si="54"/>
        <v>30440038.928571407</v>
      </c>
      <c r="G919" s="950">
        <f t="shared" si="57"/>
        <v>4565830.2364645265</v>
      </c>
      <c r="H919" s="953">
        <f t="shared" si="58"/>
        <v>4565830.2364645265</v>
      </c>
      <c r="I919" s="512">
        <f t="shared" si="55"/>
        <v>0</v>
      </c>
      <c r="J919" s="512"/>
      <c r="K919" s="649"/>
      <c r="L919" s="518"/>
      <c r="M919" s="649"/>
      <c r="N919" s="518"/>
      <c r="O919" s="518"/>
    </row>
    <row r="920" spans="3:15">
      <c r="C920" s="508">
        <f>IF(D898="","-",+C919+1)</f>
        <v>2032</v>
      </c>
      <c r="D920" s="471">
        <f t="shared" si="56"/>
        <v>30440038.928571407</v>
      </c>
      <c r="E920" s="515">
        <f t="shared" si="59"/>
        <v>1148680.7142857143</v>
      </c>
      <c r="F920" s="471">
        <f t="shared" si="54"/>
        <v>29291358.214285694</v>
      </c>
      <c r="G920" s="950">
        <f t="shared" si="57"/>
        <v>4439269.1430504965</v>
      </c>
      <c r="H920" s="953">
        <f t="shared" si="58"/>
        <v>4439269.1430504965</v>
      </c>
      <c r="I920" s="512">
        <f t="shared" si="55"/>
        <v>0</v>
      </c>
      <c r="J920" s="512"/>
      <c r="K920" s="649"/>
      <c r="L920" s="518"/>
      <c r="M920" s="649"/>
      <c r="N920" s="518"/>
      <c r="O920" s="518"/>
    </row>
    <row r="921" spans="3:15">
      <c r="C921" s="508">
        <f>IF(D898="","-",+C920+1)</f>
        <v>2033</v>
      </c>
      <c r="D921" s="471">
        <f t="shared" si="56"/>
        <v>29291358.214285694</v>
      </c>
      <c r="E921" s="515">
        <f t="shared" si="59"/>
        <v>1148680.7142857143</v>
      </c>
      <c r="F921" s="471">
        <f t="shared" si="54"/>
        <v>28142677.499999981</v>
      </c>
      <c r="G921" s="950">
        <f t="shared" si="57"/>
        <v>4312708.0496364664</v>
      </c>
      <c r="H921" s="953">
        <f t="shared" si="58"/>
        <v>4312708.0496364664</v>
      </c>
      <c r="I921" s="512">
        <f t="shared" si="55"/>
        <v>0</v>
      </c>
      <c r="J921" s="512"/>
      <c r="K921" s="649"/>
      <c r="L921" s="518"/>
      <c r="M921" s="649"/>
      <c r="N921" s="518"/>
      <c r="O921" s="518"/>
    </row>
    <row r="922" spans="3:15">
      <c r="C922" s="508">
        <f>IF(D898="","-",+C921+1)</f>
        <v>2034</v>
      </c>
      <c r="D922" s="471">
        <f t="shared" si="56"/>
        <v>28142677.499999981</v>
      </c>
      <c r="E922" s="515">
        <f t="shared" si="59"/>
        <v>1148680.7142857143</v>
      </c>
      <c r="F922" s="471">
        <f t="shared" si="54"/>
        <v>26993996.785714269</v>
      </c>
      <c r="G922" s="950">
        <f t="shared" si="57"/>
        <v>4186146.9562224364</v>
      </c>
      <c r="H922" s="953">
        <f t="shared" si="58"/>
        <v>4186146.9562224364</v>
      </c>
      <c r="I922" s="512">
        <f t="shared" si="55"/>
        <v>0</v>
      </c>
      <c r="J922" s="512"/>
      <c r="K922" s="649"/>
      <c r="L922" s="518"/>
      <c r="M922" s="649"/>
      <c r="N922" s="518"/>
      <c r="O922" s="518"/>
    </row>
    <row r="923" spans="3:15">
      <c r="C923" s="508">
        <f>IF(D898="","-",+C922+1)</f>
        <v>2035</v>
      </c>
      <c r="D923" s="471">
        <f t="shared" si="56"/>
        <v>26993996.785714269</v>
      </c>
      <c r="E923" s="515">
        <f t="shared" si="59"/>
        <v>1148680.7142857143</v>
      </c>
      <c r="F923" s="471">
        <f t="shared" si="54"/>
        <v>25845316.071428556</v>
      </c>
      <c r="G923" s="950">
        <f t="shared" si="57"/>
        <v>4059585.8628084064</v>
      </c>
      <c r="H923" s="953">
        <f t="shared" si="58"/>
        <v>4059585.8628084064</v>
      </c>
      <c r="I923" s="512">
        <f t="shared" si="55"/>
        <v>0</v>
      </c>
      <c r="J923" s="512"/>
      <c r="K923" s="649"/>
      <c r="L923" s="518"/>
      <c r="M923" s="649"/>
      <c r="N923" s="518"/>
      <c r="O923" s="518"/>
    </row>
    <row r="924" spans="3:15">
      <c r="C924" s="508">
        <f>IF(D898="","-",+C923+1)</f>
        <v>2036</v>
      </c>
      <c r="D924" s="471">
        <f t="shared" si="56"/>
        <v>25845316.071428556</v>
      </c>
      <c r="E924" s="515">
        <f t="shared" si="59"/>
        <v>1148680.7142857143</v>
      </c>
      <c r="F924" s="471">
        <f t="shared" si="54"/>
        <v>24696635.357142843</v>
      </c>
      <c r="G924" s="950">
        <f t="shared" si="57"/>
        <v>3933024.7693943772</v>
      </c>
      <c r="H924" s="953">
        <f t="shared" si="58"/>
        <v>3933024.7693943772</v>
      </c>
      <c r="I924" s="512">
        <f t="shared" si="55"/>
        <v>0</v>
      </c>
      <c r="J924" s="512"/>
      <c r="K924" s="649"/>
      <c r="L924" s="518"/>
      <c r="M924" s="649"/>
      <c r="N924" s="518"/>
      <c r="O924" s="518"/>
    </row>
    <row r="925" spans="3:15">
      <c r="C925" s="508">
        <f>IF(D898="","-",+C924+1)</f>
        <v>2037</v>
      </c>
      <c r="D925" s="471">
        <f t="shared" si="56"/>
        <v>24696635.357142843</v>
      </c>
      <c r="E925" s="515">
        <f t="shared" si="59"/>
        <v>1148680.7142857143</v>
      </c>
      <c r="F925" s="471">
        <f t="shared" si="54"/>
        <v>23547954.642857131</v>
      </c>
      <c r="G925" s="950">
        <f t="shared" si="57"/>
        <v>3806463.6759803463</v>
      </c>
      <c r="H925" s="953">
        <f t="shared" si="58"/>
        <v>3806463.6759803463</v>
      </c>
      <c r="I925" s="512">
        <f t="shared" si="55"/>
        <v>0</v>
      </c>
      <c r="J925" s="512"/>
      <c r="K925" s="649"/>
      <c r="L925" s="518"/>
      <c r="M925" s="649"/>
      <c r="N925" s="518"/>
      <c r="O925" s="518"/>
    </row>
    <row r="926" spans="3:15">
      <c r="C926" s="508">
        <f>IF(D898="","-",+C925+1)</f>
        <v>2038</v>
      </c>
      <c r="D926" s="471">
        <f t="shared" si="56"/>
        <v>23547954.642857131</v>
      </c>
      <c r="E926" s="515">
        <f t="shared" si="59"/>
        <v>1148680.7142857143</v>
      </c>
      <c r="F926" s="471">
        <f t="shared" si="54"/>
        <v>22399273.928571418</v>
      </c>
      <c r="G926" s="950">
        <f t="shared" si="57"/>
        <v>3679902.5825663172</v>
      </c>
      <c r="H926" s="953">
        <f t="shared" si="58"/>
        <v>3679902.5825663172</v>
      </c>
      <c r="I926" s="512">
        <f t="shared" si="55"/>
        <v>0</v>
      </c>
      <c r="J926" s="512"/>
      <c r="K926" s="649"/>
      <c r="L926" s="518"/>
      <c r="M926" s="649"/>
      <c r="N926" s="518"/>
      <c r="O926" s="518"/>
    </row>
    <row r="927" spans="3:15">
      <c r="C927" s="508">
        <f>IF(D898="","-",+C926+1)</f>
        <v>2039</v>
      </c>
      <c r="D927" s="471">
        <f t="shared" si="56"/>
        <v>22399273.928571418</v>
      </c>
      <c r="E927" s="515">
        <f t="shared" si="59"/>
        <v>1148680.7142857143</v>
      </c>
      <c r="F927" s="471">
        <f t="shared" si="54"/>
        <v>21250593.214285705</v>
      </c>
      <c r="G927" s="950">
        <f t="shared" si="57"/>
        <v>3553341.4891522862</v>
      </c>
      <c r="H927" s="953">
        <f t="shared" si="58"/>
        <v>3553341.4891522862</v>
      </c>
      <c r="I927" s="512">
        <f t="shared" si="55"/>
        <v>0</v>
      </c>
      <c r="J927" s="512"/>
      <c r="K927" s="649"/>
      <c r="L927" s="518"/>
      <c r="M927" s="649"/>
      <c r="N927" s="518"/>
      <c r="O927" s="518"/>
    </row>
    <row r="928" spans="3:15">
      <c r="C928" s="508">
        <f>IF(D898="","-",+C927+1)</f>
        <v>2040</v>
      </c>
      <c r="D928" s="471">
        <f t="shared" si="56"/>
        <v>21250593.214285705</v>
      </c>
      <c r="E928" s="515">
        <f t="shared" si="59"/>
        <v>1148680.7142857143</v>
      </c>
      <c r="F928" s="471">
        <f t="shared" si="54"/>
        <v>20101912.499999993</v>
      </c>
      <c r="G928" s="950">
        <f t="shared" si="57"/>
        <v>3426780.3957382571</v>
      </c>
      <c r="H928" s="953">
        <f t="shared" si="58"/>
        <v>3426780.3957382571</v>
      </c>
      <c r="I928" s="512">
        <f t="shared" si="55"/>
        <v>0</v>
      </c>
      <c r="J928" s="512"/>
      <c r="K928" s="649"/>
      <c r="L928" s="518"/>
      <c r="M928" s="649"/>
      <c r="N928" s="518"/>
      <c r="O928" s="518"/>
    </row>
    <row r="929" spans="3:15">
      <c r="C929" s="508">
        <f>IF(D898="","-",+C928+1)</f>
        <v>2041</v>
      </c>
      <c r="D929" s="471">
        <f t="shared" si="56"/>
        <v>20101912.499999993</v>
      </c>
      <c r="E929" s="515">
        <f t="shared" si="59"/>
        <v>1148680.7142857143</v>
      </c>
      <c r="F929" s="471">
        <f t="shared" si="54"/>
        <v>18953231.78571428</v>
      </c>
      <c r="G929" s="950">
        <f t="shared" si="57"/>
        <v>3300219.3023242261</v>
      </c>
      <c r="H929" s="953">
        <f t="shared" si="58"/>
        <v>3300219.3023242261</v>
      </c>
      <c r="I929" s="512">
        <f t="shared" si="55"/>
        <v>0</v>
      </c>
      <c r="J929" s="512"/>
      <c r="K929" s="649"/>
      <c r="L929" s="518"/>
      <c r="M929" s="649"/>
      <c r="N929" s="518"/>
      <c r="O929" s="518"/>
    </row>
    <row r="930" spans="3:15">
      <c r="C930" s="508">
        <f>IF(D898="","-",+C929+1)</f>
        <v>2042</v>
      </c>
      <c r="D930" s="471">
        <f t="shared" si="56"/>
        <v>18953231.78571428</v>
      </c>
      <c r="E930" s="515">
        <f t="shared" si="59"/>
        <v>1148680.7142857143</v>
      </c>
      <c r="F930" s="471">
        <f t="shared" si="54"/>
        <v>17804551.071428567</v>
      </c>
      <c r="G930" s="950">
        <f t="shared" si="57"/>
        <v>3173658.208910197</v>
      </c>
      <c r="H930" s="953">
        <f t="shared" si="58"/>
        <v>3173658.208910197</v>
      </c>
      <c r="I930" s="512">
        <f t="shared" si="55"/>
        <v>0</v>
      </c>
      <c r="J930" s="512"/>
      <c r="K930" s="649"/>
      <c r="L930" s="518"/>
      <c r="M930" s="649"/>
      <c r="N930" s="518"/>
      <c r="O930" s="518"/>
    </row>
    <row r="931" spans="3:15">
      <c r="C931" s="508">
        <f>IF(D898="","-",+C930+1)</f>
        <v>2043</v>
      </c>
      <c r="D931" s="471">
        <f t="shared" si="56"/>
        <v>17804551.071428567</v>
      </c>
      <c r="E931" s="515">
        <f t="shared" si="59"/>
        <v>1148680.7142857143</v>
      </c>
      <c r="F931" s="471">
        <f t="shared" si="54"/>
        <v>16655870.357142853</v>
      </c>
      <c r="G931" s="950">
        <f t="shared" si="57"/>
        <v>3047097.1154961661</v>
      </c>
      <c r="H931" s="953">
        <f t="shared" si="58"/>
        <v>3047097.1154961661</v>
      </c>
      <c r="I931" s="512">
        <f t="shared" si="55"/>
        <v>0</v>
      </c>
      <c r="J931" s="512"/>
      <c r="K931" s="649"/>
      <c r="L931" s="518"/>
      <c r="M931" s="649"/>
      <c r="N931" s="518"/>
      <c r="O931" s="518"/>
    </row>
    <row r="932" spans="3:15">
      <c r="C932" s="508">
        <f>IF(D898="","-",+C931+1)</f>
        <v>2044</v>
      </c>
      <c r="D932" s="471">
        <f t="shared" si="56"/>
        <v>16655870.357142853</v>
      </c>
      <c r="E932" s="515">
        <f t="shared" si="59"/>
        <v>1148680.7142857143</v>
      </c>
      <c r="F932" s="471">
        <f t="shared" si="54"/>
        <v>15507189.642857138</v>
      </c>
      <c r="G932" s="959">
        <f t="shared" si="57"/>
        <v>2920536.0220821365</v>
      </c>
      <c r="H932" s="953">
        <f t="shared" si="58"/>
        <v>2920536.0220821365</v>
      </c>
      <c r="I932" s="512">
        <f t="shared" si="55"/>
        <v>0</v>
      </c>
      <c r="J932" s="512"/>
      <c r="K932" s="649"/>
      <c r="L932" s="518"/>
      <c r="M932" s="649"/>
      <c r="N932" s="518"/>
      <c r="O932" s="518"/>
    </row>
    <row r="933" spans="3:15">
      <c r="C933" s="508">
        <f>IF(D898="","-",+C932+1)</f>
        <v>2045</v>
      </c>
      <c r="D933" s="471">
        <f t="shared" si="56"/>
        <v>15507189.642857138</v>
      </c>
      <c r="E933" s="515">
        <f t="shared" si="59"/>
        <v>1148680.7142857143</v>
      </c>
      <c r="F933" s="471">
        <f t="shared" si="54"/>
        <v>14358508.928571424</v>
      </c>
      <c r="G933" s="950">
        <f t="shared" si="57"/>
        <v>2793974.928668106</v>
      </c>
      <c r="H933" s="953">
        <f t="shared" si="58"/>
        <v>2793974.928668106</v>
      </c>
      <c r="I933" s="512">
        <f t="shared" si="55"/>
        <v>0</v>
      </c>
      <c r="J933" s="512"/>
      <c r="K933" s="649"/>
      <c r="L933" s="518"/>
      <c r="M933" s="649"/>
      <c r="N933" s="518"/>
      <c r="O933" s="518"/>
    </row>
    <row r="934" spans="3:15">
      <c r="C934" s="508">
        <f>IF(D898="","-",+C933+1)</f>
        <v>2046</v>
      </c>
      <c r="D934" s="471">
        <f t="shared" si="56"/>
        <v>14358508.928571424</v>
      </c>
      <c r="E934" s="515">
        <f t="shared" si="59"/>
        <v>1148680.7142857143</v>
      </c>
      <c r="F934" s="471">
        <f t="shared" si="54"/>
        <v>13209828.214285709</v>
      </c>
      <c r="G934" s="950">
        <f t="shared" si="57"/>
        <v>2667413.8352540759</v>
      </c>
      <c r="H934" s="953">
        <f t="shared" si="58"/>
        <v>2667413.8352540759</v>
      </c>
      <c r="I934" s="512">
        <f t="shared" si="55"/>
        <v>0</v>
      </c>
      <c r="J934" s="512"/>
      <c r="K934" s="649"/>
      <c r="L934" s="518"/>
      <c r="M934" s="649"/>
      <c r="N934" s="518"/>
      <c r="O934" s="518"/>
    </row>
    <row r="935" spans="3:15">
      <c r="C935" s="508">
        <f>IF(D898="","-",+C934+1)</f>
        <v>2047</v>
      </c>
      <c r="D935" s="471">
        <f t="shared" si="56"/>
        <v>13209828.214285709</v>
      </c>
      <c r="E935" s="515">
        <f t="shared" si="59"/>
        <v>1148680.7142857143</v>
      </c>
      <c r="F935" s="471">
        <f t="shared" si="54"/>
        <v>12061147.499999994</v>
      </c>
      <c r="G935" s="950">
        <f t="shared" si="57"/>
        <v>2540852.7418400459</v>
      </c>
      <c r="H935" s="953">
        <f t="shared" si="58"/>
        <v>2540852.7418400459</v>
      </c>
      <c r="I935" s="512">
        <f t="shared" si="55"/>
        <v>0</v>
      </c>
      <c r="J935" s="512"/>
      <c r="K935" s="649"/>
      <c r="L935" s="518"/>
      <c r="M935" s="649"/>
      <c r="N935" s="518"/>
      <c r="O935" s="518"/>
    </row>
    <row r="936" spans="3:15">
      <c r="C936" s="508">
        <f>IF(D898="","-",+C935+1)</f>
        <v>2048</v>
      </c>
      <c r="D936" s="471">
        <f t="shared" si="56"/>
        <v>12061147.499999994</v>
      </c>
      <c r="E936" s="515">
        <f t="shared" si="59"/>
        <v>1148680.7142857143</v>
      </c>
      <c r="F936" s="471">
        <f t="shared" si="54"/>
        <v>10912466.78571428</v>
      </c>
      <c r="G936" s="950">
        <f t="shared" si="57"/>
        <v>2414291.6484260159</v>
      </c>
      <c r="H936" s="953">
        <f t="shared" si="58"/>
        <v>2414291.6484260159</v>
      </c>
      <c r="I936" s="512">
        <f t="shared" si="55"/>
        <v>0</v>
      </c>
      <c r="J936" s="512"/>
      <c r="K936" s="649"/>
      <c r="L936" s="518"/>
      <c r="M936" s="649"/>
      <c r="N936" s="518"/>
      <c r="O936" s="518"/>
    </row>
    <row r="937" spans="3:15">
      <c r="C937" s="508">
        <f>IF(D898="","-",+C936+1)</f>
        <v>2049</v>
      </c>
      <c r="D937" s="471">
        <f t="shared" si="56"/>
        <v>10912466.78571428</v>
      </c>
      <c r="E937" s="515">
        <f t="shared" si="59"/>
        <v>1148680.7142857143</v>
      </c>
      <c r="F937" s="471">
        <f t="shared" si="54"/>
        <v>9763786.0714285653</v>
      </c>
      <c r="G937" s="950">
        <f t="shared" si="57"/>
        <v>2287730.5550119849</v>
      </c>
      <c r="H937" s="953">
        <f t="shared" si="58"/>
        <v>2287730.5550119849</v>
      </c>
      <c r="I937" s="512">
        <f t="shared" si="55"/>
        <v>0</v>
      </c>
      <c r="J937" s="512"/>
      <c r="K937" s="649"/>
      <c r="L937" s="518"/>
      <c r="M937" s="649"/>
      <c r="N937" s="518"/>
      <c r="O937" s="518"/>
    </row>
    <row r="938" spans="3:15">
      <c r="C938" s="508">
        <f>IF(D898="","-",+C937+1)</f>
        <v>2050</v>
      </c>
      <c r="D938" s="471">
        <f t="shared" si="56"/>
        <v>9763786.0714285653</v>
      </c>
      <c r="E938" s="515">
        <f t="shared" si="59"/>
        <v>1148680.7142857143</v>
      </c>
      <c r="F938" s="471">
        <f t="shared" si="54"/>
        <v>8615105.3571428508</v>
      </c>
      <c r="G938" s="950">
        <f t="shared" si="57"/>
        <v>2161169.4615979553</v>
      </c>
      <c r="H938" s="953">
        <f t="shared" si="58"/>
        <v>2161169.4615979553</v>
      </c>
      <c r="I938" s="512">
        <f t="shared" si="55"/>
        <v>0</v>
      </c>
      <c r="J938" s="512"/>
      <c r="K938" s="649"/>
      <c r="L938" s="518"/>
      <c r="M938" s="649"/>
      <c r="N938" s="518"/>
      <c r="O938" s="518"/>
    </row>
    <row r="939" spans="3:15">
      <c r="C939" s="508">
        <f>IF(D898="","-",+C938+1)</f>
        <v>2051</v>
      </c>
      <c r="D939" s="471">
        <f t="shared" si="56"/>
        <v>8615105.3571428508</v>
      </c>
      <c r="E939" s="515">
        <f t="shared" si="59"/>
        <v>1148680.7142857143</v>
      </c>
      <c r="F939" s="471">
        <f t="shared" si="54"/>
        <v>7466424.6428571362</v>
      </c>
      <c r="G939" s="950">
        <f t="shared" si="57"/>
        <v>2034608.3681839248</v>
      </c>
      <c r="H939" s="953">
        <f t="shared" si="58"/>
        <v>2034608.3681839248</v>
      </c>
      <c r="I939" s="512">
        <f t="shared" si="55"/>
        <v>0</v>
      </c>
      <c r="J939" s="512"/>
      <c r="K939" s="649"/>
      <c r="L939" s="518"/>
      <c r="M939" s="649"/>
      <c r="N939" s="518"/>
      <c r="O939" s="518"/>
    </row>
    <row r="940" spans="3:15">
      <c r="C940" s="508">
        <f>IF(D898="","-",+C939+1)</f>
        <v>2052</v>
      </c>
      <c r="D940" s="471">
        <f t="shared" si="56"/>
        <v>7466424.6428571362</v>
      </c>
      <c r="E940" s="515">
        <f t="shared" si="59"/>
        <v>1148680.7142857143</v>
      </c>
      <c r="F940" s="471">
        <f t="shared" si="54"/>
        <v>6317743.9285714217</v>
      </c>
      <c r="G940" s="950">
        <f t="shared" si="57"/>
        <v>1908047.2747698948</v>
      </c>
      <c r="H940" s="953">
        <f t="shared" si="58"/>
        <v>1908047.2747698948</v>
      </c>
      <c r="I940" s="512">
        <f t="shared" si="55"/>
        <v>0</v>
      </c>
      <c r="J940" s="512"/>
      <c r="K940" s="649"/>
      <c r="L940" s="518"/>
      <c r="M940" s="649"/>
      <c r="N940" s="518"/>
      <c r="O940" s="518"/>
    </row>
    <row r="941" spans="3:15">
      <c r="C941" s="508">
        <f>IF(D898="","-",+C940+1)</f>
        <v>2053</v>
      </c>
      <c r="D941" s="471">
        <f t="shared" si="56"/>
        <v>6317743.9285714217</v>
      </c>
      <c r="E941" s="515">
        <f t="shared" si="59"/>
        <v>1148680.7142857143</v>
      </c>
      <c r="F941" s="471">
        <f t="shared" si="54"/>
        <v>5169063.2142857071</v>
      </c>
      <c r="G941" s="950">
        <f t="shared" si="57"/>
        <v>1781486.1813558643</v>
      </c>
      <c r="H941" s="953">
        <f t="shared" si="58"/>
        <v>1781486.1813558643</v>
      </c>
      <c r="I941" s="512">
        <f t="shared" si="55"/>
        <v>0</v>
      </c>
      <c r="J941" s="512"/>
      <c r="K941" s="649"/>
      <c r="L941" s="518"/>
      <c r="M941" s="649"/>
      <c r="N941" s="518"/>
      <c r="O941" s="518"/>
    </row>
    <row r="942" spans="3:15">
      <c r="C942" s="508">
        <f>IF(D898="","-",+C941+1)</f>
        <v>2054</v>
      </c>
      <c r="D942" s="471">
        <f t="shared" si="56"/>
        <v>5169063.2142857071</v>
      </c>
      <c r="E942" s="515">
        <f t="shared" si="59"/>
        <v>1148680.7142857143</v>
      </c>
      <c r="F942" s="471">
        <f t="shared" si="54"/>
        <v>4020382.4999999925</v>
      </c>
      <c r="G942" s="950">
        <f t="shared" si="57"/>
        <v>1654925.0879418342</v>
      </c>
      <c r="H942" s="953">
        <f t="shared" si="58"/>
        <v>1654925.0879418342</v>
      </c>
      <c r="I942" s="512">
        <f t="shared" si="55"/>
        <v>0</v>
      </c>
      <c r="J942" s="512"/>
      <c r="K942" s="649"/>
      <c r="L942" s="518"/>
      <c r="M942" s="649"/>
      <c r="N942" s="518"/>
      <c r="O942" s="518"/>
    </row>
    <row r="943" spans="3:15">
      <c r="C943" s="508">
        <f>IF(D898="","-",+C942+1)</f>
        <v>2055</v>
      </c>
      <c r="D943" s="471">
        <f t="shared" si="56"/>
        <v>4020382.4999999925</v>
      </c>
      <c r="E943" s="515">
        <f t="shared" si="59"/>
        <v>1148680.7142857143</v>
      </c>
      <c r="F943" s="471">
        <f t="shared" si="54"/>
        <v>2871701.785714278</v>
      </c>
      <c r="G943" s="950">
        <f t="shared" si="57"/>
        <v>1528363.994527804</v>
      </c>
      <c r="H943" s="953">
        <f t="shared" si="58"/>
        <v>1528363.994527804</v>
      </c>
      <c r="I943" s="512">
        <f t="shared" si="55"/>
        <v>0</v>
      </c>
      <c r="J943" s="512"/>
      <c r="K943" s="649"/>
      <c r="L943" s="518"/>
      <c r="M943" s="649"/>
      <c r="N943" s="518"/>
      <c r="O943" s="518"/>
    </row>
    <row r="944" spans="3:15">
      <c r="C944" s="508">
        <f>IF(D898="","-",+C943+1)</f>
        <v>2056</v>
      </c>
      <c r="D944" s="471">
        <f t="shared" si="56"/>
        <v>2871701.785714278</v>
      </c>
      <c r="E944" s="515">
        <f t="shared" si="59"/>
        <v>1148680.7142857143</v>
      </c>
      <c r="F944" s="471">
        <f t="shared" si="54"/>
        <v>1723021.0714285637</v>
      </c>
      <c r="G944" s="950">
        <f t="shared" si="57"/>
        <v>1401802.9011137737</v>
      </c>
      <c r="H944" s="953">
        <f t="shared" si="58"/>
        <v>1401802.9011137737</v>
      </c>
      <c r="I944" s="512">
        <f t="shared" si="55"/>
        <v>0</v>
      </c>
      <c r="J944" s="512"/>
      <c r="K944" s="649"/>
      <c r="L944" s="518"/>
      <c r="M944" s="649"/>
      <c r="N944" s="518"/>
      <c r="O944" s="518"/>
    </row>
    <row r="945" spans="3:15">
      <c r="C945" s="508">
        <f>IF(D898="","-",+C944+1)</f>
        <v>2057</v>
      </c>
      <c r="D945" s="471">
        <f t="shared" si="56"/>
        <v>1723021.0714285637</v>
      </c>
      <c r="E945" s="515">
        <f t="shared" si="59"/>
        <v>1148680.7142857143</v>
      </c>
      <c r="F945" s="471">
        <f t="shared" si="54"/>
        <v>574340.35714284936</v>
      </c>
      <c r="G945" s="950">
        <f t="shared" si="57"/>
        <v>1275241.8076997437</v>
      </c>
      <c r="H945" s="953">
        <f t="shared" si="58"/>
        <v>1275241.8076997437</v>
      </c>
      <c r="I945" s="512">
        <f t="shared" si="55"/>
        <v>0</v>
      </c>
      <c r="J945" s="512"/>
      <c r="K945" s="649"/>
      <c r="L945" s="518"/>
      <c r="M945" s="649"/>
      <c r="N945" s="518"/>
      <c r="O945" s="518"/>
    </row>
    <row r="946" spans="3:15">
      <c r="C946" s="508">
        <f>IF(D898="","-",+C945+1)</f>
        <v>2058</v>
      </c>
      <c r="D946" s="471">
        <f t="shared" si="56"/>
        <v>574340.35714284936</v>
      </c>
      <c r="E946" s="515">
        <f t="shared" si="59"/>
        <v>574340.35714284936</v>
      </c>
      <c r="F946" s="471">
        <f t="shared" si="54"/>
        <v>0</v>
      </c>
      <c r="G946" s="950">
        <f t="shared" si="57"/>
        <v>605980.63049635652</v>
      </c>
      <c r="H946" s="953">
        <f t="shared" si="58"/>
        <v>605980.63049635652</v>
      </c>
      <c r="I946" s="512">
        <f t="shared" si="55"/>
        <v>0</v>
      </c>
      <c r="J946" s="512"/>
      <c r="K946" s="649"/>
      <c r="L946" s="518"/>
      <c r="M946" s="649"/>
      <c r="N946" s="518"/>
      <c r="O946" s="518"/>
    </row>
    <row r="947" spans="3:15">
      <c r="C947" s="508">
        <f>IF(D898="","-",+C946+1)</f>
        <v>2059</v>
      </c>
      <c r="D947" s="471">
        <f t="shared" si="56"/>
        <v>0</v>
      </c>
      <c r="E947" s="515">
        <f t="shared" si="59"/>
        <v>0</v>
      </c>
      <c r="F947" s="471">
        <f t="shared" si="54"/>
        <v>0</v>
      </c>
      <c r="G947" s="950">
        <f t="shared" si="57"/>
        <v>0</v>
      </c>
      <c r="H947" s="953">
        <f t="shared" si="58"/>
        <v>0</v>
      </c>
      <c r="I947" s="512">
        <f t="shared" si="55"/>
        <v>0</v>
      </c>
      <c r="J947" s="512"/>
      <c r="K947" s="649"/>
      <c r="L947" s="518"/>
      <c r="M947" s="649"/>
      <c r="N947" s="518"/>
      <c r="O947" s="518"/>
    </row>
    <row r="948" spans="3:15">
      <c r="C948" s="508">
        <f>IF(D898="","-",+C947+1)</f>
        <v>2060</v>
      </c>
      <c r="D948" s="471">
        <f t="shared" si="56"/>
        <v>0</v>
      </c>
      <c r="E948" s="515">
        <f t="shared" si="59"/>
        <v>0</v>
      </c>
      <c r="F948" s="471">
        <f t="shared" si="54"/>
        <v>0</v>
      </c>
      <c r="G948" s="950">
        <f t="shared" si="57"/>
        <v>0</v>
      </c>
      <c r="H948" s="953">
        <f t="shared" si="58"/>
        <v>0</v>
      </c>
      <c r="I948" s="512">
        <f t="shared" si="55"/>
        <v>0</v>
      </c>
      <c r="J948" s="512"/>
      <c r="K948" s="649"/>
      <c r="L948" s="518"/>
      <c r="M948" s="649"/>
      <c r="N948" s="518"/>
      <c r="O948" s="518"/>
    </row>
    <row r="949" spans="3:15">
      <c r="C949" s="508">
        <f>IF(D898="","-",+C948+1)</f>
        <v>2061</v>
      </c>
      <c r="D949" s="471">
        <f t="shared" si="56"/>
        <v>0</v>
      </c>
      <c r="E949" s="515">
        <f t="shared" si="59"/>
        <v>0</v>
      </c>
      <c r="F949" s="471">
        <f t="shared" si="54"/>
        <v>0</v>
      </c>
      <c r="G949" s="950">
        <f t="shared" si="57"/>
        <v>0</v>
      </c>
      <c r="H949" s="953">
        <f t="shared" si="58"/>
        <v>0</v>
      </c>
      <c r="I949" s="512">
        <f t="shared" si="55"/>
        <v>0</v>
      </c>
      <c r="J949" s="512"/>
      <c r="K949" s="649"/>
      <c r="L949" s="518"/>
      <c r="M949" s="649"/>
      <c r="N949" s="518"/>
      <c r="O949" s="518"/>
    </row>
    <row r="950" spans="3:15">
      <c r="C950" s="508">
        <f>IF(D898="","-",+C949+1)</f>
        <v>2062</v>
      </c>
      <c r="D950" s="471">
        <f t="shared" si="56"/>
        <v>0</v>
      </c>
      <c r="E950" s="515">
        <f t="shared" si="59"/>
        <v>0</v>
      </c>
      <c r="F950" s="471">
        <f t="shared" si="54"/>
        <v>0</v>
      </c>
      <c r="G950" s="950">
        <f t="shared" si="57"/>
        <v>0</v>
      </c>
      <c r="H950" s="953">
        <f t="shared" si="58"/>
        <v>0</v>
      </c>
      <c r="I950" s="512">
        <f t="shared" si="55"/>
        <v>0</v>
      </c>
      <c r="J950" s="512"/>
      <c r="K950" s="649"/>
      <c r="L950" s="518"/>
      <c r="M950" s="649"/>
      <c r="N950" s="518"/>
      <c r="O950" s="518"/>
    </row>
    <row r="951" spans="3:15">
      <c r="C951" s="508">
        <f>IF(D898="","-",+C950+1)</f>
        <v>2063</v>
      </c>
      <c r="D951" s="471">
        <f t="shared" si="56"/>
        <v>0</v>
      </c>
      <c r="E951" s="515">
        <f t="shared" si="59"/>
        <v>0</v>
      </c>
      <c r="F951" s="471">
        <f t="shared" si="54"/>
        <v>0</v>
      </c>
      <c r="G951" s="950">
        <f t="shared" si="57"/>
        <v>0</v>
      </c>
      <c r="H951" s="953">
        <f t="shared" si="58"/>
        <v>0</v>
      </c>
      <c r="I951" s="512">
        <f t="shared" si="55"/>
        <v>0</v>
      </c>
      <c r="J951" s="512"/>
      <c r="K951" s="649"/>
      <c r="L951" s="518"/>
      <c r="M951" s="649"/>
      <c r="N951" s="518"/>
      <c r="O951" s="518"/>
    </row>
    <row r="952" spans="3:15">
      <c r="C952" s="508">
        <f>IF(D898="","-",+C951+1)</f>
        <v>2064</v>
      </c>
      <c r="D952" s="471">
        <f t="shared" si="56"/>
        <v>0</v>
      </c>
      <c r="E952" s="515">
        <f t="shared" si="59"/>
        <v>0</v>
      </c>
      <c r="F952" s="471">
        <f t="shared" si="54"/>
        <v>0</v>
      </c>
      <c r="G952" s="950">
        <f t="shared" si="57"/>
        <v>0</v>
      </c>
      <c r="H952" s="953">
        <f t="shared" si="58"/>
        <v>0</v>
      </c>
      <c r="I952" s="512">
        <f t="shared" si="55"/>
        <v>0</v>
      </c>
      <c r="J952" s="512"/>
      <c r="K952" s="649"/>
      <c r="L952" s="518"/>
      <c r="M952" s="649"/>
      <c r="N952" s="518"/>
      <c r="O952" s="518"/>
    </row>
    <row r="953" spans="3:15">
      <c r="C953" s="508">
        <f>IF(D898="","-",+C952+1)</f>
        <v>2065</v>
      </c>
      <c r="D953" s="471">
        <f t="shared" si="56"/>
        <v>0</v>
      </c>
      <c r="E953" s="515">
        <f t="shared" si="59"/>
        <v>0</v>
      </c>
      <c r="F953" s="471">
        <f t="shared" si="54"/>
        <v>0</v>
      </c>
      <c r="G953" s="950">
        <f t="shared" si="57"/>
        <v>0</v>
      </c>
      <c r="H953" s="953">
        <f t="shared" si="58"/>
        <v>0</v>
      </c>
      <c r="I953" s="512">
        <f t="shared" si="55"/>
        <v>0</v>
      </c>
      <c r="J953" s="512"/>
      <c r="K953" s="649"/>
      <c r="L953" s="518"/>
      <c r="M953" s="649"/>
      <c r="N953" s="518"/>
      <c r="O953" s="518"/>
    </row>
    <row r="954" spans="3:15">
      <c r="C954" s="508">
        <f>IF(D898="","-",+C953+1)</f>
        <v>2066</v>
      </c>
      <c r="D954" s="471">
        <f t="shared" si="56"/>
        <v>0</v>
      </c>
      <c r="E954" s="515">
        <f t="shared" si="59"/>
        <v>0</v>
      </c>
      <c r="F954" s="471">
        <f t="shared" si="54"/>
        <v>0</v>
      </c>
      <c r="G954" s="950">
        <f t="shared" si="57"/>
        <v>0</v>
      </c>
      <c r="H954" s="953">
        <f t="shared" si="58"/>
        <v>0</v>
      </c>
      <c r="I954" s="512">
        <f t="shared" si="55"/>
        <v>0</v>
      </c>
      <c r="J954" s="512"/>
      <c r="K954" s="649"/>
      <c r="L954" s="518"/>
      <c r="M954" s="649"/>
      <c r="N954" s="518"/>
      <c r="O954" s="518"/>
    </row>
    <row r="955" spans="3:15">
      <c r="C955" s="508">
        <f>IF(D898="","-",+C954+1)</f>
        <v>2067</v>
      </c>
      <c r="D955" s="471">
        <f t="shared" si="56"/>
        <v>0</v>
      </c>
      <c r="E955" s="515">
        <f t="shared" si="59"/>
        <v>0</v>
      </c>
      <c r="F955" s="471">
        <f t="shared" si="54"/>
        <v>0</v>
      </c>
      <c r="G955" s="950">
        <f t="shared" si="57"/>
        <v>0</v>
      </c>
      <c r="H955" s="953">
        <f t="shared" si="58"/>
        <v>0</v>
      </c>
      <c r="I955" s="512">
        <f t="shared" si="55"/>
        <v>0</v>
      </c>
      <c r="J955" s="512"/>
      <c r="K955" s="649"/>
      <c r="L955" s="518"/>
      <c r="M955" s="649"/>
      <c r="N955" s="518"/>
      <c r="O955" s="518"/>
    </row>
    <row r="956" spans="3:15">
      <c r="C956" s="508">
        <f>IF(D898="","-",+C955+1)</f>
        <v>2068</v>
      </c>
      <c r="D956" s="471">
        <f t="shared" si="56"/>
        <v>0</v>
      </c>
      <c r="E956" s="515">
        <f t="shared" si="59"/>
        <v>0</v>
      </c>
      <c r="F956" s="471">
        <f t="shared" si="54"/>
        <v>0</v>
      </c>
      <c r="G956" s="950">
        <f t="shared" si="57"/>
        <v>0</v>
      </c>
      <c r="H956" s="953">
        <f t="shared" si="58"/>
        <v>0</v>
      </c>
      <c r="I956" s="512">
        <f t="shared" si="55"/>
        <v>0</v>
      </c>
      <c r="J956" s="512"/>
      <c r="K956" s="649"/>
      <c r="L956" s="518"/>
      <c r="M956" s="649"/>
      <c r="N956" s="518"/>
      <c r="O956" s="518"/>
    </row>
    <row r="957" spans="3:15">
      <c r="C957" s="508">
        <f>IF(D898="","-",+C956+1)</f>
        <v>2069</v>
      </c>
      <c r="D957" s="471">
        <f t="shared" si="56"/>
        <v>0</v>
      </c>
      <c r="E957" s="515">
        <f t="shared" si="59"/>
        <v>0</v>
      </c>
      <c r="F957" s="471">
        <f t="shared" si="54"/>
        <v>0</v>
      </c>
      <c r="G957" s="950">
        <f t="shared" si="57"/>
        <v>0</v>
      </c>
      <c r="H957" s="953">
        <f t="shared" si="58"/>
        <v>0</v>
      </c>
      <c r="I957" s="512">
        <f t="shared" si="55"/>
        <v>0</v>
      </c>
      <c r="J957" s="512"/>
      <c r="K957" s="649"/>
      <c r="L957" s="518"/>
      <c r="M957" s="649"/>
      <c r="N957" s="518"/>
      <c r="O957" s="518"/>
    </row>
    <row r="958" spans="3:15">
      <c r="C958" s="508">
        <f>IF(D898="","-",+C957+1)</f>
        <v>2070</v>
      </c>
      <c r="D958" s="471">
        <f t="shared" si="56"/>
        <v>0</v>
      </c>
      <c r="E958" s="515">
        <f t="shared" si="59"/>
        <v>0</v>
      </c>
      <c r="F958" s="471">
        <f t="shared" si="54"/>
        <v>0</v>
      </c>
      <c r="G958" s="950">
        <f t="shared" si="57"/>
        <v>0</v>
      </c>
      <c r="H958" s="953">
        <f t="shared" si="58"/>
        <v>0</v>
      </c>
      <c r="I958" s="512">
        <f t="shared" si="55"/>
        <v>0</v>
      </c>
      <c r="J958" s="512"/>
      <c r="K958" s="649"/>
      <c r="L958" s="518"/>
      <c r="M958" s="649"/>
      <c r="N958" s="518"/>
      <c r="O958" s="518"/>
    </row>
    <row r="959" spans="3:15">
      <c r="C959" s="508">
        <f>IF(D898="","-",+C958+1)</f>
        <v>2071</v>
      </c>
      <c r="D959" s="471">
        <f t="shared" si="56"/>
        <v>0</v>
      </c>
      <c r="E959" s="515">
        <f t="shared" si="59"/>
        <v>0</v>
      </c>
      <c r="F959" s="471">
        <f t="shared" si="54"/>
        <v>0</v>
      </c>
      <c r="G959" s="950">
        <f t="shared" si="57"/>
        <v>0</v>
      </c>
      <c r="H959" s="953">
        <f t="shared" si="58"/>
        <v>0</v>
      </c>
      <c r="I959" s="512">
        <f t="shared" si="55"/>
        <v>0</v>
      </c>
      <c r="J959" s="512"/>
      <c r="K959" s="649"/>
      <c r="L959" s="518"/>
      <c r="M959" s="649"/>
      <c r="N959" s="518"/>
      <c r="O959" s="518"/>
    </row>
    <row r="960" spans="3:15">
      <c r="C960" s="508">
        <f>IF(D898="","-",+C959+1)</f>
        <v>2072</v>
      </c>
      <c r="D960" s="471">
        <f t="shared" si="56"/>
        <v>0</v>
      </c>
      <c r="E960" s="515">
        <f t="shared" si="59"/>
        <v>0</v>
      </c>
      <c r="F960" s="471">
        <f t="shared" si="54"/>
        <v>0</v>
      </c>
      <c r="G960" s="950">
        <f t="shared" si="57"/>
        <v>0</v>
      </c>
      <c r="H960" s="953">
        <f t="shared" si="58"/>
        <v>0</v>
      </c>
      <c r="I960" s="512">
        <f t="shared" si="55"/>
        <v>0</v>
      </c>
      <c r="J960" s="512"/>
      <c r="K960" s="649"/>
      <c r="L960" s="518"/>
      <c r="M960" s="649"/>
      <c r="N960" s="518"/>
      <c r="O960" s="518"/>
    </row>
    <row r="961" spans="1:16">
      <c r="C961" s="508">
        <f>IF(D898="","-",+C960+1)</f>
        <v>2073</v>
      </c>
      <c r="D961" s="471">
        <f t="shared" si="56"/>
        <v>0</v>
      </c>
      <c r="E961" s="515">
        <f t="shared" si="59"/>
        <v>0</v>
      </c>
      <c r="F961" s="471">
        <f t="shared" si="54"/>
        <v>0</v>
      </c>
      <c r="G961" s="950">
        <f t="shared" si="57"/>
        <v>0</v>
      </c>
      <c r="H961" s="953">
        <f t="shared" si="58"/>
        <v>0</v>
      </c>
      <c r="I961" s="512">
        <f t="shared" si="55"/>
        <v>0</v>
      </c>
      <c r="J961" s="512"/>
      <c r="K961" s="649"/>
      <c r="L961" s="518"/>
      <c r="M961" s="649"/>
      <c r="N961" s="518"/>
      <c r="O961" s="518"/>
    </row>
    <row r="962" spans="1:16">
      <c r="C962" s="508">
        <f>IF(D898="","-",+C961+1)</f>
        <v>2074</v>
      </c>
      <c r="D962" s="471">
        <f t="shared" si="56"/>
        <v>0</v>
      </c>
      <c r="E962" s="515">
        <f t="shared" si="59"/>
        <v>0</v>
      </c>
      <c r="F962" s="471">
        <f t="shared" si="54"/>
        <v>0</v>
      </c>
      <c r="G962" s="950">
        <f t="shared" si="57"/>
        <v>0</v>
      </c>
      <c r="H962" s="953">
        <f t="shared" si="58"/>
        <v>0</v>
      </c>
      <c r="I962" s="512">
        <f t="shared" si="55"/>
        <v>0</v>
      </c>
      <c r="J962" s="512"/>
      <c r="K962" s="649"/>
      <c r="L962" s="518"/>
      <c r="M962" s="649"/>
      <c r="N962" s="518"/>
      <c r="O962" s="518"/>
    </row>
    <row r="963" spans="1:16" ht="13.5" thickBot="1">
      <c r="C963" s="520">
        <f>IF(D898="","-",+C962+1)</f>
        <v>2075</v>
      </c>
      <c r="D963" s="521">
        <f t="shared" si="56"/>
        <v>0</v>
      </c>
      <c r="E963" s="522">
        <f t="shared" si="59"/>
        <v>0</v>
      </c>
      <c r="F963" s="521">
        <f t="shared" si="54"/>
        <v>0</v>
      </c>
      <c r="G963" s="960">
        <f t="shared" si="57"/>
        <v>0</v>
      </c>
      <c r="H963" s="960">
        <f t="shared" si="58"/>
        <v>0</v>
      </c>
      <c r="I963" s="524">
        <f t="shared" si="55"/>
        <v>0</v>
      </c>
      <c r="J963" s="512"/>
      <c r="K963" s="650"/>
      <c r="L963" s="526"/>
      <c r="M963" s="650"/>
      <c r="N963" s="526"/>
      <c r="O963" s="526"/>
    </row>
    <row r="964" spans="1:16">
      <c r="C964" s="471" t="s">
        <v>288</v>
      </c>
      <c r="D964" s="931"/>
      <c r="E964" s="931">
        <f>SUM(E904:E963)</f>
        <v>48244590</v>
      </c>
      <c r="F964" s="931"/>
      <c r="G964" s="931">
        <f>SUM(G904:G963)</f>
        <v>162529257.35286921</v>
      </c>
      <c r="H964" s="931">
        <f>SUM(H904:H963)</f>
        <v>162529257.35286921</v>
      </c>
      <c r="I964" s="931">
        <f>SUM(I904:I963)</f>
        <v>0</v>
      </c>
      <c r="J964" s="931"/>
      <c r="K964" s="931"/>
      <c r="L964" s="931"/>
      <c r="M964" s="931"/>
      <c r="N964" s="931"/>
      <c r="O964" s="4"/>
    </row>
    <row r="965" spans="1:16">
      <c r="D965" s="78"/>
      <c r="E965" s="4"/>
      <c r="F965" s="4"/>
      <c r="G965" s="4"/>
      <c r="H965" s="930"/>
      <c r="I965" s="930"/>
      <c r="J965" s="931"/>
      <c r="K965" s="930"/>
      <c r="L965" s="930"/>
      <c r="M965" s="930"/>
      <c r="N965" s="930"/>
      <c r="O965" s="4"/>
    </row>
    <row r="966" spans="1:16">
      <c r="C966" s="4" t="s">
        <v>600</v>
      </c>
      <c r="D966" s="78"/>
      <c r="E966" s="4"/>
      <c r="F966" s="4"/>
      <c r="G966" s="4"/>
      <c r="H966" s="930"/>
      <c r="I966" s="930"/>
      <c r="J966" s="931"/>
      <c r="K966" s="930"/>
      <c r="L966" s="930"/>
      <c r="M966" s="930"/>
      <c r="N966" s="930"/>
      <c r="O966" s="4"/>
    </row>
    <row r="967" spans="1:16">
      <c r="D967" s="78"/>
      <c r="E967" s="4"/>
      <c r="F967" s="4"/>
      <c r="G967" s="4"/>
      <c r="H967" s="930"/>
      <c r="I967" s="930"/>
      <c r="J967" s="931"/>
      <c r="K967" s="930"/>
      <c r="L967" s="930"/>
      <c r="M967" s="930"/>
      <c r="N967" s="930"/>
      <c r="O967" s="4"/>
    </row>
    <row r="968" spans="1:16">
      <c r="C968" s="4" t="s">
        <v>601</v>
      </c>
      <c r="D968" s="471"/>
      <c r="E968" s="471"/>
      <c r="F968" s="471"/>
      <c r="G968" s="931"/>
      <c r="H968" s="931"/>
      <c r="I968" s="473"/>
      <c r="J968" s="473"/>
      <c r="K968" s="473"/>
      <c r="L968" s="473"/>
      <c r="M968" s="473"/>
      <c r="N968" s="473"/>
      <c r="O968" s="4"/>
    </row>
    <row r="969" spans="1:16">
      <c r="C969" s="4" t="s">
        <v>476</v>
      </c>
      <c r="D969" s="471"/>
      <c r="E969" s="471"/>
      <c r="F969" s="471"/>
      <c r="G969" s="931"/>
      <c r="H969" s="931"/>
      <c r="I969" s="473"/>
      <c r="J969" s="473"/>
      <c r="K969" s="473"/>
      <c r="L969" s="473"/>
      <c r="M969" s="473"/>
      <c r="N969" s="473"/>
      <c r="O969" s="4"/>
    </row>
    <row r="970" spans="1:16">
      <c r="C970" s="4" t="s">
        <v>289</v>
      </c>
      <c r="D970" s="471"/>
      <c r="E970" s="471"/>
      <c r="F970" s="471"/>
      <c r="G970" s="931"/>
      <c r="H970" s="931"/>
      <c r="I970" s="473"/>
      <c r="J970" s="473"/>
      <c r="K970" s="473"/>
      <c r="L970" s="473"/>
      <c r="M970" s="473"/>
      <c r="N970" s="473"/>
      <c r="O970" s="4"/>
    </row>
    <row r="971" spans="1:16">
      <c r="C971" s="472"/>
      <c r="D971" s="471"/>
      <c r="E971" s="471"/>
      <c r="F971" s="471"/>
      <c r="G971" s="931"/>
      <c r="H971" s="931"/>
      <c r="I971" s="473"/>
      <c r="J971" s="473"/>
      <c r="K971" s="473"/>
      <c r="L971" s="473"/>
      <c r="M971" s="473"/>
      <c r="N971" s="473"/>
      <c r="O971" s="4"/>
    </row>
    <row r="972" spans="1:16">
      <c r="C972" s="1303" t="s">
        <v>460</v>
      </c>
      <c r="D972" s="1303"/>
      <c r="E972" s="1303"/>
      <c r="F972" s="1303"/>
      <c r="G972" s="1303"/>
      <c r="H972" s="1303"/>
      <c r="I972" s="1303"/>
      <c r="J972" s="1303"/>
      <c r="K972" s="1303"/>
      <c r="L972" s="1303"/>
      <c r="M972" s="1303"/>
      <c r="N972" s="1303"/>
      <c r="O972" s="1303"/>
    </row>
    <row r="973" spans="1:16">
      <c r="C973" s="1303"/>
      <c r="D973" s="1303"/>
      <c r="E973" s="1303"/>
      <c r="F973" s="1303"/>
      <c r="G973" s="1303"/>
      <c r="H973" s="1303"/>
      <c r="I973" s="1303"/>
      <c r="J973" s="1303"/>
      <c r="K973" s="1303"/>
      <c r="L973" s="1303"/>
      <c r="M973" s="1303"/>
      <c r="N973" s="1303"/>
      <c r="O973" s="1303"/>
    </row>
    <row r="974" spans="1:16" ht="20.25">
      <c r="A974" s="413" t="s">
        <v>927</v>
      </c>
      <c r="B974" s="4"/>
      <c r="C974" s="4"/>
      <c r="D974" s="78"/>
      <c r="E974" s="4"/>
      <c r="F974" s="80"/>
      <c r="G974" s="4"/>
      <c r="H974" s="930"/>
      <c r="K974" s="11"/>
      <c r="L974" s="11"/>
      <c r="M974" s="11"/>
      <c r="N974" s="11" t="str">
        <f>"Page "&amp;SUM(P$6:P974)&amp;" of "</f>
        <v xml:space="preserve">Page 12 of </v>
      </c>
      <c r="O974" s="414">
        <f>COUNT(P$6:P$59606)</f>
        <v>14</v>
      </c>
      <c r="P974" s="4">
        <v>1</v>
      </c>
    </row>
    <row r="975" spans="1:16">
      <c r="B975" s="4"/>
      <c r="C975" s="4"/>
      <c r="D975" s="78"/>
      <c r="E975" s="4"/>
      <c r="F975" s="4"/>
      <c r="G975" s="4"/>
      <c r="H975" s="930"/>
      <c r="I975" s="4"/>
      <c r="J975" s="4"/>
      <c r="K975" s="4"/>
      <c r="L975" s="4"/>
      <c r="M975" s="4"/>
      <c r="N975" s="4"/>
      <c r="O975" s="4"/>
    </row>
    <row r="976" spans="1:16" ht="18">
      <c r="B976" s="415" t="s">
        <v>174</v>
      </c>
      <c r="C976" s="474" t="s">
        <v>290</v>
      </c>
      <c r="D976" s="78"/>
      <c r="E976" s="4"/>
      <c r="F976" s="4"/>
      <c r="G976" s="4"/>
      <c r="H976" s="930"/>
      <c r="I976" s="930"/>
      <c r="J976" s="931"/>
      <c r="K976" s="930"/>
      <c r="L976" s="930"/>
      <c r="M976" s="930"/>
      <c r="N976" s="930"/>
      <c r="O976" s="4"/>
    </row>
    <row r="977" spans="1:15" ht="18.75">
      <c r="B977" s="415"/>
      <c r="C977" s="13"/>
      <c r="D977" s="78"/>
      <c r="E977" s="4"/>
      <c r="F977" s="4"/>
      <c r="G977" s="4"/>
      <c r="H977" s="930"/>
      <c r="I977" s="930"/>
      <c r="J977" s="931"/>
      <c r="K977" s="930"/>
      <c r="L977" s="930"/>
      <c r="M977" s="930"/>
      <c r="N977" s="930"/>
      <c r="O977" s="4"/>
    </row>
    <row r="978" spans="1:15" ht="18.75">
      <c r="B978" s="415"/>
      <c r="C978" s="13" t="s">
        <v>291</v>
      </c>
      <c r="D978" s="78"/>
      <c r="E978" s="4"/>
      <c r="F978" s="4"/>
      <c r="G978" s="4"/>
      <c r="H978" s="930"/>
      <c r="I978" s="930"/>
      <c r="J978" s="931"/>
      <c r="K978" s="930"/>
      <c r="L978" s="930"/>
      <c r="M978" s="930"/>
      <c r="N978" s="930"/>
      <c r="O978" s="4"/>
    </row>
    <row r="979" spans="1:15" ht="15.75" thickBot="1">
      <c r="C979" s="250"/>
      <c r="D979" s="78"/>
      <c r="E979" s="4"/>
      <c r="F979" s="4"/>
      <c r="G979" s="4"/>
      <c r="H979" s="930"/>
      <c r="I979" s="930"/>
      <c r="J979" s="931"/>
      <c r="K979" s="930"/>
      <c r="L979" s="930"/>
      <c r="M979" s="930"/>
      <c r="N979" s="930"/>
      <c r="O979" s="4"/>
    </row>
    <row r="980" spans="1:15" ht="15.75">
      <c r="C980" s="416" t="s">
        <v>292</v>
      </c>
      <c r="D980" s="78"/>
      <c r="E980" s="4"/>
      <c r="F980" s="4"/>
      <c r="G980" s="932"/>
      <c r="H980" s="4" t="s">
        <v>271</v>
      </c>
      <c r="I980" s="4"/>
      <c r="J980" s="4"/>
      <c r="K980" s="475" t="s">
        <v>296</v>
      </c>
      <c r="L980" s="476"/>
      <c r="M980" s="477"/>
      <c r="N980" s="933">
        <f>VLOOKUP(I986,C993:O1052,5)</f>
        <v>32802.579385016958</v>
      </c>
      <c r="O980" s="4"/>
    </row>
    <row r="981" spans="1:15" ht="15.75">
      <c r="C981" s="416"/>
      <c r="D981" s="78"/>
      <c r="E981" s="4"/>
      <c r="F981" s="4"/>
      <c r="G981" s="4"/>
      <c r="H981" s="934"/>
      <c r="I981" s="934"/>
      <c r="J981" s="935"/>
      <c r="K981" s="480" t="s">
        <v>297</v>
      </c>
      <c r="L981" s="936"/>
      <c r="M981" s="4"/>
      <c r="N981" s="937">
        <f>VLOOKUP(I986,C993:O1052,6)</f>
        <v>32802.579385016958</v>
      </c>
      <c r="O981" s="4"/>
    </row>
    <row r="982" spans="1:15" ht="13.5" thickBot="1">
      <c r="C982" s="481" t="s">
        <v>293</v>
      </c>
      <c r="D982" s="1304" t="s">
        <v>939</v>
      </c>
      <c r="E982" s="1304"/>
      <c r="F982" s="1304"/>
      <c r="G982" s="1304"/>
      <c r="H982" s="1304"/>
      <c r="I982" s="930"/>
      <c r="J982" s="931"/>
      <c r="K982" s="938" t="s">
        <v>450</v>
      </c>
      <c r="L982" s="939"/>
      <c r="M982" s="939"/>
      <c r="N982" s="940">
        <f>+N981-N980</f>
        <v>0</v>
      </c>
      <c r="O982" s="4"/>
    </row>
    <row r="983" spans="1:15">
      <c r="C983" s="483"/>
      <c r="D983" s="484"/>
      <c r="E983" s="471"/>
      <c r="F983" s="471"/>
      <c r="G983" s="485"/>
      <c r="H983" s="930"/>
      <c r="I983" s="930"/>
      <c r="J983" s="931"/>
      <c r="K983" s="930"/>
      <c r="L983" s="930"/>
      <c r="M983" s="930"/>
      <c r="N983" s="930"/>
      <c r="O983" s="4"/>
    </row>
    <row r="984" spans="1:15" ht="13.5" thickBot="1">
      <c r="C984" s="483"/>
      <c r="D984" s="4"/>
      <c r="E984" s="485"/>
      <c r="F984" s="485"/>
      <c r="G984" s="485"/>
      <c r="H984" s="485"/>
      <c r="I984" s="485"/>
      <c r="J984" s="485"/>
      <c r="K984" s="485"/>
      <c r="L984" s="485"/>
      <c r="M984" s="485"/>
      <c r="N984" s="485"/>
      <c r="O984" s="4"/>
    </row>
    <row r="985" spans="1:15" ht="13.5" thickBot="1">
      <c r="C985" s="487" t="s">
        <v>294</v>
      </c>
      <c r="D985" s="488"/>
      <c r="E985" s="488"/>
      <c r="F985" s="488"/>
      <c r="G985" s="488"/>
      <c r="H985" s="488"/>
      <c r="I985" s="489"/>
      <c r="K985" s="4"/>
      <c r="L985" s="4"/>
      <c r="M985" s="4"/>
      <c r="N985" s="4"/>
      <c r="O985" s="4"/>
    </row>
    <row r="986" spans="1:15" ht="15">
      <c r="C986" s="490" t="s">
        <v>272</v>
      </c>
      <c r="D986" s="941">
        <v>267989</v>
      </c>
      <c r="E986" s="4" t="s">
        <v>273</v>
      </c>
      <c r="G986" s="78"/>
      <c r="H986" s="78"/>
      <c r="I986" s="491">
        <v>2018</v>
      </c>
      <c r="J986" s="134"/>
      <c r="K986" s="1302" t="s">
        <v>459</v>
      </c>
      <c r="L986" s="1302"/>
      <c r="M986" s="1302"/>
      <c r="N986" s="1302"/>
      <c r="O986" s="1302"/>
    </row>
    <row r="987" spans="1:15">
      <c r="C987" s="490" t="s">
        <v>275</v>
      </c>
      <c r="D987" s="644">
        <v>2014</v>
      </c>
      <c r="E987" s="490" t="s">
        <v>276</v>
      </c>
      <c r="F987" s="78"/>
      <c r="H987"/>
      <c r="I987" s="647">
        <f>IF(G980="",0,$F$15)</f>
        <v>0</v>
      </c>
      <c r="J987" s="492"/>
      <c r="K987" s="931" t="s">
        <v>459</v>
      </c>
    </row>
    <row r="988" spans="1:15">
      <c r="C988" s="490" t="s">
        <v>277</v>
      </c>
      <c r="D988" s="942">
        <v>1</v>
      </c>
      <c r="E988" s="490" t="s">
        <v>278</v>
      </c>
      <c r="F988" s="78"/>
      <c r="H988"/>
      <c r="I988" s="493">
        <f>$G$70</f>
        <v>0.11017952320434825</v>
      </c>
      <c r="J988" s="80"/>
      <c r="K988" t="str">
        <f>"          INPUT PROJECTED ARR (WITH &amp; WITHOUT INCENTIVES) FROM EACH PRIOR YEAR"</f>
        <v xml:space="preserve">          INPUT PROJECTED ARR (WITH &amp; WITHOUT INCENTIVES) FROM EACH PRIOR YEAR</v>
      </c>
    </row>
    <row r="989" spans="1:15">
      <c r="C989" s="490" t="s">
        <v>279</v>
      </c>
      <c r="D989" s="494">
        <f>G$79</f>
        <v>42</v>
      </c>
      <c r="E989" s="490" t="s">
        <v>280</v>
      </c>
      <c r="F989" s="78"/>
      <c r="H989"/>
      <c r="I989" s="493">
        <f>IF(G980="",I988,$G$67)</f>
        <v>0.11017952320434825</v>
      </c>
      <c r="J989" s="80"/>
      <c r="K989" t="s">
        <v>357</v>
      </c>
    </row>
    <row r="990" spans="1:15" ht="13.5" thickBot="1">
      <c r="C990" s="490" t="s">
        <v>281</v>
      </c>
      <c r="D990" s="646" t="s">
        <v>929</v>
      </c>
      <c r="E990" s="495" t="s">
        <v>282</v>
      </c>
      <c r="F990" s="496"/>
      <c r="G990" s="497"/>
      <c r="H990" s="497"/>
      <c r="I990" s="940">
        <f>IF(D986=0,0,D986/D989)</f>
        <v>6380.6904761904761</v>
      </c>
      <c r="J990" s="931"/>
      <c r="K990" s="931" t="s">
        <v>363</v>
      </c>
      <c r="L990" s="931"/>
      <c r="M990" s="931"/>
      <c r="N990" s="931"/>
      <c r="O990" s="4"/>
    </row>
    <row r="991" spans="1:15" ht="51">
      <c r="A991" s="12"/>
      <c r="B991" s="12"/>
      <c r="C991" s="498" t="s">
        <v>272</v>
      </c>
      <c r="D991" s="943" t="s">
        <v>283</v>
      </c>
      <c r="E991" s="944" t="s">
        <v>284</v>
      </c>
      <c r="F991" s="943" t="s">
        <v>285</v>
      </c>
      <c r="G991" s="944" t="s">
        <v>356</v>
      </c>
      <c r="H991" s="945" t="s">
        <v>356</v>
      </c>
      <c r="I991" s="498" t="s">
        <v>295</v>
      </c>
      <c r="J991" s="502"/>
      <c r="K991" s="944" t="s">
        <v>365</v>
      </c>
      <c r="L991" s="946"/>
      <c r="M991" s="944" t="s">
        <v>365</v>
      </c>
      <c r="N991" s="946"/>
      <c r="O991" s="946"/>
    </row>
    <row r="992" spans="1:15" ht="13.5" thickBot="1">
      <c r="C992" s="503" t="s">
        <v>177</v>
      </c>
      <c r="D992" s="504" t="s">
        <v>178</v>
      </c>
      <c r="E992" s="503" t="s">
        <v>37</v>
      </c>
      <c r="F992" s="504" t="s">
        <v>178</v>
      </c>
      <c r="G992" s="947" t="s">
        <v>298</v>
      </c>
      <c r="H992" s="948" t="s">
        <v>300</v>
      </c>
      <c r="I992" s="503" t="s">
        <v>389</v>
      </c>
      <c r="J992" s="507"/>
      <c r="K992" s="947" t="s">
        <v>287</v>
      </c>
      <c r="L992" s="949"/>
      <c r="M992" s="947" t="s">
        <v>300</v>
      </c>
      <c r="N992" s="949"/>
      <c r="O992" s="949"/>
    </row>
    <row r="993" spans="3:15">
      <c r="C993" s="508">
        <f>IF(D987= "","-",D987)</f>
        <v>2014</v>
      </c>
      <c r="D993" s="471">
        <f>+D986</f>
        <v>267989</v>
      </c>
      <c r="E993" s="950">
        <f>+I990/12*(12-D988)</f>
        <v>5848.9662698412703</v>
      </c>
      <c r="F993" s="471">
        <f t="shared" ref="F993:F1052" si="60">+D993-E993</f>
        <v>262140.03373015873</v>
      </c>
      <c r="G993" s="951">
        <f>+$I$988*((D993+F993)/2)+E993</f>
        <v>35053.648356426638</v>
      </c>
      <c r="H993" s="952">
        <f>+$I$989*((D993+F993)/2)+E993</f>
        <v>35053.648356426638</v>
      </c>
      <c r="I993" s="512">
        <f t="shared" ref="I993:I1052" si="61">+H993-G993</f>
        <v>0</v>
      </c>
      <c r="J993" s="512"/>
      <c r="K993" s="648"/>
      <c r="L993" s="514"/>
      <c r="M993" s="648"/>
      <c r="N993" s="514"/>
      <c r="O993" s="514"/>
    </row>
    <row r="994" spans="3:15">
      <c r="C994" s="508">
        <f>IF(D987="","-",+C993+1)</f>
        <v>2015</v>
      </c>
      <c r="D994" s="471">
        <f t="shared" ref="D994:D1052" si="62">F993</f>
        <v>262140.03373015873</v>
      </c>
      <c r="E994" s="515">
        <f>IF(D994&gt;$I$990,$I$990,D994)</f>
        <v>6380.6904761904761</v>
      </c>
      <c r="F994" s="471">
        <f t="shared" si="60"/>
        <v>255759.34325396825</v>
      </c>
      <c r="G994" s="950">
        <f t="shared" ref="G994:G1052" si="63">+$I$988*((D994+F994)/2)+E994</f>
        <v>34911.643688160533</v>
      </c>
      <c r="H994" s="953">
        <f t="shared" ref="H994:H1052" si="64">+$I$989*((D994+F994)/2)+E994</f>
        <v>34911.643688160533</v>
      </c>
      <c r="I994" s="512">
        <f t="shared" si="61"/>
        <v>0</v>
      </c>
      <c r="J994" s="512"/>
      <c r="K994" s="649"/>
      <c r="L994" s="518"/>
      <c r="M994" s="649"/>
      <c r="N994" s="518"/>
      <c r="O994" s="518"/>
    </row>
    <row r="995" spans="3:15">
      <c r="C995" s="508">
        <f>IF(D987="","-",+C994+1)</f>
        <v>2016</v>
      </c>
      <c r="D995" s="471">
        <f t="shared" si="62"/>
        <v>255759.34325396825</v>
      </c>
      <c r="E995" s="515">
        <f t="shared" ref="E995:E1052" si="65">IF(D995&gt;$I$990,$I$990,D995)</f>
        <v>6380.6904761904761</v>
      </c>
      <c r="F995" s="471">
        <f t="shared" si="60"/>
        <v>249378.65277777778</v>
      </c>
      <c r="G995" s="950">
        <f t="shared" si="63"/>
        <v>34208.622253779344</v>
      </c>
      <c r="H995" s="953">
        <f t="shared" si="64"/>
        <v>34208.622253779344</v>
      </c>
      <c r="I995" s="512">
        <f t="shared" si="61"/>
        <v>0</v>
      </c>
      <c r="J995" s="512"/>
      <c r="K995" s="975"/>
      <c r="L995" s="963"/>
      <c r="M995" s="975"/>
      <c r="N995" s="518"/>
      <c r="O995" s="518"/>
    </row>
    <row r="996" spans="3:15">
      <c r="C996" s="508">
        <f>IF(D987="","-",+C995+1)</f>
        <v>2017</v>
      </c>
      <c r="D996" s="471">
        <f t="shared" si="62"/>
        <v>249378.65277777778</v>
      </c>
      <c r="E996" s="515">
        <f t="shared" si="65"/>
        <v>6380.6904761904761</v>
      </c>
      <c r="F996" s="471">
        <f t="shared" si="60"/>
        <v>242997.96230158731</v>
      </c>
      <c r="G996" s="950">
        <f t="shared" si="63"/>
        <v>33505.600819398154</v>
      </c>
      <c r="H996" s="953">
        <f t="shared" si="64"/>
        <v>33505.600819398154</v>
      </c>
      <c r="I996" s="512">
        <f t="shared" si="61"/>
        <v>0</v>
      </c>
      <c r="J996" s="512"/>
      <c r="K996" s="649"/>
      <c r="L996" s="518"/>
      <c r="M996" s="649"/>
      <c r="N996" s="518"/>
      <c r="O996" s="518"/>
    </row>
    <row r="997" spans="3:15">
      <c r="C997" s="954">
        <f>IF(D987="","-",+C996+1)</f>
        <v>2018</v>
      </c>
      <c r="D997" s="471">
        <f t="shared" si="62"/>
        <v>242997.96230158731</v>
      </c>
      <c r="E997" s="515">
        <f t="shared" si="65"/>
        <v>6380.6904761904761</v>
      </c>
      <c r="F997" s="471">
        <f t="shared" si="60"/>
        <v>236617.27182539683</v>
      </c>
      <c r="G997" s="950">
        <f t="shared" si="63"/>
        <v>32802.579385016958</v>
      </c>
      <c r="H997" s="953">
        <f t="shared" si="64"/>
        <v>32802.579385016958</v>
      </c>
      <c r="I997" s="512">
        <f t="shared" si="61"/>
        <v>0</v>
      </c>
      <c r="J997" s="512"/>
      <c r="K997" s="649"/>
      <c r="L997" s="518"/>
      <c r="M997" s="649"/>
      <c r="N997" s="518"/>
      <c r="O997" s="518"/>
    </row>
    <row r="998" spans="3:15">
      <c r="C998" s="508">
        <f>IF(D987="","-",+C997+1)</f>
        <v>2019</v>
      </c>
      <c r="D998" s="471">
        <f t="shared" si="62"/>
        <v>236617.27182539683</v>
      </c>
      <c r="E998" s="515">
        <f t="shared" si="65"/>
        <v>6380.6904761904761</v>
      </c>
      <c r="F998" s="471">
        <f t="shared" si="60"/>
        <v>230236.58134920636</v>
      </c>
      <c r="G998" s="950">
        <f t="shared" si="63"/>
        <v>32099.557950635768</v>
      </c>
      <c r="H998" s="953">
        <f t="shared" si="64"/>
        <v>32099.557950635768</v>
      </c>
      <c r="I998" s="512">
        <f t="shared" si="61"/>
        <v>0</v>
      </c>
      <c r="J998" s="512"/>
      <c r="K998" s="649"/>
      <c r="L998" s="518"/>
      <c r="M998" s="649"/>
      <c r="N998" s="518"/>
      <c r="O998" s="518"/>
    </row>
    <row r="999" spans="3:15">
      <c r="C999" s="508">
        <f>IF(D987="","-",+C998+1)</f>
        <v>2020</v>
      </c>
      <c r="D999" s="471">
        <f t="shared" si="62"/>
        <v>230236.58134920636</v>
      </c>
      <c r="E999" s="515">
        <f t="shared" si="65"/>
        <v>6380.6904761904761</v>
      </c>
      <c r="F999" s="471">
        <f t="shared" si="60"/>
        <v>223855.89087301589</v>
      </c>
      <c r="G999" s="950">
        <f t="shared" si="63"/>
        <v>31396.536516254575</v>
      </c>
      <c r="H999" s="953">
        <f t="shared" si="64"/>
        <v>31396.536516254575</v>
      </c>
      <c r="I999" s="512">
        <f t="shared" si="61"/>
        <v>0</v>
      </c>
      <c r="J999" s="512"/>
      <c r="K999" s="649">
        <v>35555</v>
      </c>
      <c r="L999" s="518"/>
      <c r="M999" s="649">
        <v>35555</v>
      </c>
      <c r="N999" s="518"/>
      <c r="O999" s="518"/>
    </row>
    <row r="1000" spans="3:15">
      <c r="C1000" s="978">
        <f>IF(D987="","-",+C999+1)</f>
        <v>2021</v>
      </c>
      <c r="D1000" s="955">
        <f t="shared" si="62"/>
        <v>223855.89087301589</v>
      </c>
      <c r="E1000" s="956">
        <f t="shared" si="65"/>
        <v>6380.6904761904761</v>
      </c>
      <c r="F1000" s="955">
        <f t="shared" si="60"/>
        <v>217475.20039682541</v>
      </c>
      <c r="G1000" s="957">
        <f t="shared" si="63"/>
        <v>30693.515081873385</v>
      </c>
      <c r="H1000" s="958">
        <f t="shared" si="64"/>
        <v>30693.515081873385</v>
      </c>
      <c r="I1000" s="964">
        <f t="shared" si="61"/>
        <v>0</v>
      </c>
      <c r="J1000" s="512"/>
      <c r="K1000" s="649"/>
      <c r="L1000" s="518"/>
      <c r="M1000" s="649"/>
      <c r="N1000" s="518"/>
      <c r="O1000" s="518"/>
    </row>
    <row r="1001" spans="3:15">
      <c r="C1001" s="508">
        <f>IF(D987="","-",+C1000+1)</f>
        <v>2022</v>
      </c>
      <c r="D1001" s="471">
        <f t="shared" si="62"/>
        <v>217475.20039682541</v>
      </c>
      <c r="E1001" s="515">
        <f t="shared" si="65"/>
        <v>6380.6904761904761</v>
      </c>
      <c r="F1001" s="471">
        <f t="shared" si="60"/>
        <v>211094.50992063494</v>
      </c>
      <c r="G1001" s="950">
        <f t="shared" si="63"/>
        <v>29990.493647492192</v>
      </c>
      <c r="H1001" s="953">
        <f t="shared" si="64"/>
        <v>29990.493647492192</v>
      </c>
      <c r="I1001" s="512">
        <f t="shared" si="61"/>
        <v>0</v>
      </c>
      <c r="J1001" s="512"/>
      <c r="K1001" s="649"/>
      <c r="L1001" s="518"/>
      <c r="M1001" s="649"/>
      <c r="N1001" s="518"/>
      <c r="O1001" s="518"/>
    </row>
    <row r="1002" spans="3:15">
      <c r="C1002" s="508">
        <f>IF(D987="","-",+C1001+1)</f>
        <v>2023</v>
      </c>
      <c r="D1002" s="471">
        <f t="shared" si="62"/>
        <v>211094.50992063494</v>
      </c>
      <c r="E1002" s="515">
        <f t="shared" si="65"/>
        <v>6380.6904761904761</v>
      </c>
      <c r="F1002" s="471">
        <f t="shared" si="60"/>
        <v>204713.81944444447</v>
      </c>
      <c r="G1002" s="950">
        <f t="shared" si="63"/>
        <v>29287.472213110999</v>
      </c>
      <c r="H1002" s="953">
        <f t="shared" si="64"/>
        <v>29287.472213110999</v>
      </c>
      <c r="I1002" s="512">
        <f t="shared" si="61"/>
        <v>0</v>
      </c>
      <c r="J1002" s="512"/>
      <c r="K1002" s="649"/>
      <c r="L1002" s="518"/>
      <c r="M1002" s="649"/>
      <c r="N1002" s="518"/>
      <c r="O1002" s="518"/>
    </row>
    <row r="1003" spans="3:15">
      <c r="C1003" s="508">
        <f>IF(D987="","-",+C1002+1)</f>
        <v>2024</v>
      </c>
      <c r="D1003" s="471">
        <f t="shared" si="62"/>
        <v>204713.81944444447</v>
      </c>
      <c r="E1003" s="515">
        <f t="shared" si="65"/>
        <v>6380.6904761904761</v>
      </c>
      <c r="F1003" s="471">
        <f t="shared" si="60"/>
        <v>198333.12896825399</v>
      </c>
      <c r="G1003" s="950">
        <f t="shared" si="63"/>
        <v>28584.450778729806</v>
      </c>
      <c r="H1003" s="953">
        <f t="shared" si="64"/>
        <v>28584.450778729806</v>
      </c>
      <c r="I1003" s="512">
        <f t="shared" si="61"/>
        <v>0</v>
      </c>
      <c r="J1003" s="512"/>
      <c r="K1003" s="649"/>
      <c r="L1003" s="518"/>
      <c r="M1003" s="649"/>
      <c r="N1003" s="518"/>
      <c r="O1003" s="518"/>
    </row>
    <row r="1004" spans="3:15">
      <c r="C1004" s="508">
        <f>IF(D987="","-",+C1003+1)</f>
        <v>2025</v>
      </c>
      <c r="D1004" s="471">
        <f t="shared" si="62"/>
        <v>198333.12896825399</v>
      </c>
      <c r="E1004" s="515">
        <f t="shared" si="65"/>
        <v>6380.6904761904761</v>
      </c>
      <c r="F1004" s="471">
        <f t="shared" si="60"/>
        <v>191952.43849206352</v>
      </c>
      <c r="G1004" s="950">
        <f t="shared" si="63"/>
        <v>27881.429344348617</v>
      </c>
      <c r="H1004" s="953">
        <f t="shared" si="64"/>
        <v>27881.429344348617</v>
      </c>
      <c r="I1004" s="512">
        <f t="shared" si="61"/>
        <v>0</v>
      </c>
      <c r="J1004" s="512"/>
      <c r="K1004" s="649"/>
      <c r="L1004" s="518"/>
      <c r="M1004" s="649"/>
      <c r="N1004" s="518"/>
      <c r="O1004" s="518"/>
    </row>
    <row r="1005" spans="3:15">
      <c r="C1005" s="508">
        <f>IF(D987="","-",+C1004+1)</f>
        <v>2026</v>
      </c>
      <c r="D1005" s="471">
        <f t="shared" si="62"/>
        <v>191952.43849206352</v>
      </c>
      <c r="E1005" s="515">
        <f t="shared" si="65"/>
        <v>6380.6904761904761</v>
      </c>
      <c r="F1005" s="471">
        <f t="shared" si="60"/>
        <v>185571.74801587305</v>
      </c>
      <c r="G1005" s="950">
        <f t="shared" si="63"/>
        <v>27178.407909967424</v>
      </c>
      <c r="H1005" s="953">
        <f t="shared" si="64"/>
        <v>27178.407909967424</v>
      </c>
      <c r="I1005" s="512">
        <f t="shared" si="61"/>
        <v>0</v>
      </c>
      <c r="J1005" s="512"/>
      <c r="K1005" s="649"/>
      <c r="L1005" s="518"/>
      <c r="M1005" s="649"/>
      <c r="N1005" s="519"/>
      <c r="O1005" s="518"/>
    </row>
    <row r="1006" spans="3:15">
      <c r="C1006" s="508">
        <f>IF(D987="","-",+C1005+1)</f>
        <v>2027</v>
      </c>
      <c r="D1006" s="471">
        <f t="shared" si="62"/>
        <v>185571.74801587305</v>
      </c>
      <c r="E1006" s="515">
        <f t="shared" si="65"/>
        <v>6380.6904761904761</v>
      </c>
      <c r="F1006" s="471">
        <f t="shared" si="60"/>
        <v>179191.05753968257</v>
      </c>
      <c r="G1006" s="950">
        <f t="shared" si="63"/>
        <v>26475.386475586231</v>
      </c>
      <c r="H1006" s="953">
        <f t="shared" si="64"/>
        <v>26475.386475586231</v>
      </c>
      <c r="I1006" s="512">
        <f t="shared" si="61"/>
        <v>0</v>
      </c>
      <c r="J1006" s="512"/>
      <c r="K1006" s="649"/>
      <c r="L1006" s="518"/>
      <c r="M1006" s="649"/>
      <c r="N1006" s="518"/>
      <c r="O1006" s="518"/>
    </row>
    <row r="1007" spans="3:15">
      <c r="C1007" s="508">
        <f>IF(D987="","-",+C1006+1)</f>
        <v>2028</v>
      </c>
      <c r="D1007" s="471">
        <f t="shared" si="62"/>
        <v>179191.05753968257</v>
      </c>
      <c r="E1007" s="515">
        <f t="shared" si="65"/>
        <v>6380.6904761904761</v>
      </c>
      <c r="F1007" s="471">
        <f t="shared" si="60"/>
        <v>172810.3670634921</v>
      </c>
      <c r="G1007" s="950">
        <f t="shared" si="63"/>
        <v>25772.365041205037</v>
      </c>
      <c r="H1007" s="953">
        <f t="shared" si="64"/>
        <v>25772.365041205037</v>
      </c>
      <c r="I1007" s="512">
        <f t="shared" si="61"/>
        <v>0</v>
      </c>
      <c r="J1007" s="512"/>
      <c r="K1007" s="649"/>
      <c r="L1007" s="518"/>
      <c r="M1007" s="649"/>
      <c r="N1007" s="518"/>
      <c r="O1007" s="518"/>
    </row>
    <row r="1008" spans="3:15">
      <c r="C1008" s="508">
        <f>IF(D987="","-",+C1007+1)</f>
        <v>2029</v>
      </c>
      <c r="D1008" s="471">
        <f t="shared" si="62"/>
        <v>172810.3670634921</v>
      </c>
      <c r="E1008" s="515">
        <f t="shared" si="65"/>
        <v>6380.6904761904761</v>
      </c>
      <c r="F1008" s="471">
        <f t="shared" si="60"/>
        <v>166429.67658730163</v>
      </c>
      <c r="G1008" s="950">
        <f t="shared" si="63"/>
        <v>25069.343606823848</v>
      </c>
      <c r="H1008" s="953">
        <f t="shared" si="64"/>
        <v>25069.343606823848</v>
      </c>
      <c r="I1008" s="512">
        <f t="shared" si="61"/>
        <v>0</v>
      </c>
      <c r="J1008" s="512"/>
      <c r="K1008" s="649"/>
      <c r="L1008" s="518"/>
      <c r="M1008" s="649"/>
      <c r="N1008" s="518"/>
      <c r="O1008" s="518"/>
    </row>
    <row r="1009" spans="3:15">
      <c r="C1009" s="508">
        <f>IF(D987="","-",+C1008+1)</f>
        <v>2030</v>
      </c>
      <c r="D1009" s="471">
        <f t="shared" si="62"/>
        <v>166429.67658730163</v>
      </c>
      <c r="E1009" s="515">
        <f t="shared" si="65"/>
        <v>6380.6904761904761</v>
      </c>
      <c r="F1009" s="471">
        <f t="shared" si="60"/>
        <v>160048.98611111115</v>
      </c>
      <c r="G1009" s="950">
        <f t="shared" si="63"/>
        <v>24366.322172442655</v>
      </c>
      <c r="H1009" s="953">
        <f t="shared" si="64"/>
        <v>24366.322172442655</v>
      </c>
      <c r="I1009" s="512">
        <f t="shared" si="61"/>
        <v>0</v>
      </c>
      <c r="J1009" s="512"/>
      <c r="K1009" s="649"/>
      <c r="L1009" s="518"/>
      <c r="M1009" s="649"/>
      <c r="N1009" s="518"/>
      <c r="O1009" s="518"/>
    </row>
    <row r="1010" spans="3:15">
      <c r="C1010" s="508">
        <f>IF(D987="","-",+C1009+1)</f>
        <v>2031</v>
      </c>
      <c r="D1010" s="471">
        <f t="shared" si="62"/>
        <v>160048.98611111115</v>
      </c>
      <c r="E1010" s="515">
        <f t="shared" si="65"/>
        <v>6380.6904761904761</v>
      </c>
      <c r="F1010" s="471">
        <f t="shared" si="60"/>
        <v>153668.29563492068</v>
      </c>
      <c r="G1010" s="950">
        <f t="shared" si="63"/>
        <v>23663.300738061462</v>
      </c>
      <c r="H1010" s="953">
        <f t="shared" si="64"/>
        <v>23663.300738061462</v>
      </c>
      <c r="I1010" s="512">
        <f t="shared" si="61"/>
        <v>0</v>
      </c>
      <c r="J1010" s="512"/>
      <c r="K1010" s="649"/>
      <c r="L1010" s="518"/>
      <c r="M1010" s="649"/>
      <c r="N1010" s="518"/>
      <c r="O1010" s="518"/>
    </row>
    <row r="1011" spans="3:15">
      <c r="C1011" s="508">
        <f>IF(D987="","-",+C1010+1)</f>
        <v>2032</v>
      </c>
      <c r="D1011" s="471">
        <f t="shared" si="62"/>
        <v>153668.29563492068</v>
      </c>
      <c r="E1011" s="515">
        <f t="shared" si="65"/>
        <v>6380.6904761904761</v>
      </c>
      <c r="F1011" s="471">
        <f t="shared" si="60"/>
        <v>147287.60515873021</v>
      </c>
      <c r="G1011" s="950">
        <f t="shared" si="63"/>
        <v>22960.279303680272</v>
      </c>
      <c r="H1011" s="953">
        <f t="shared" si="64"/>
        <v>22960.279303680272</v>
      </c>
      <c r="I1011" s="512">
        <f t="shared" si="61"/>
        <v>0</v>
      </c>
      <c r="J1011" s="512"/>
      <c r="K1011" s="649"/>
      <c r="L1011" s="518"/>
      <c r="M1011" s="649"/>
      <c r="N1011" s="518"/>
      <c r="O1011" s="518"/>
    </row>
    <row r="1012" spans="3:15">
      <c r="C1012" s="508">
        <f>IF(D987="","-",+C1011+1)</f>
        <v>2033</v>
      </c>
      <c r="D1012" s="471">
        <f t="shared" si="62"/>
        <v>147287.60515873021</v>
      </c>
      <c r="E1012" s="515">
        <f t="shared" si="65"/>
        <v>6380.6904761904761</v>
      </c>
      <c r="F1012" s="471">
        <f t="shared" si="60"/>
        <v>140906.91468253973</v>
      </c>
      <c r="G1012" s="950">
        <f t="shared" si="63"/>
        <v>22257.257869299079</v>
      </c>
      <c r="H1012" s="953">
        <f t="shared" si="64"/>
        <v>22257.257869299079</v>
      </c>
      <c r="I1012" s="512">
        <f t="shared" si="61"/>
        <v>0</v>
      </c>
      <c r="J1012" s="512"/>
      <c r="K1012" s="649"/>
      <c r="L1012" s="518"/>
      <c r="M1012" s="649"/>
      <c r="N1012" s="518"/>
      <c r="O1012" s="518"/>
    </row>
    <row r="1013" spans="3:15">
      <c r="C1013" s="508">
        <f>IF(D987="","-",+C1012+1)</f>
        <v>2034</v>
      </c>
      <c r="D1013" s="471">
        <f t="shared" si="62"/>
        <v>140906.91468253973</v>
      </c>
      <c r="E1013" s="515">
        <f t="shared" si="65"/>
        <v>6380.6904761904761</v>
      </c>
      <c r="F1013" s="471">
        <f t="shared" si="60"/>
        <v>134526.22420634926</v>
      </c>
      <c r="G1013" s="950">
        <f t="shared" si="63"/>
        <v>21554.236434917886</v>
      </c>
      <c r="H1013" s="953">
        <f t="shared" si="64"/>
        <v>21554.236434917886</v>
      </c>
      <c r="I1013" s="512">
        <f t="shared" si="61"/>
        <v>0</v>
      </c>
      <c r="J1013" s="512"/>
      <c r="K1013" s="649"/>
      <c r="L1013" s="518"/>
      <c r="M1013" s="649"/>
      <c r="N1013" s="518"/>
      <c r="O1013" s="518"/>
    </row>
    <row r="1014" spans="3:15">
      <c r="C1014" s="508">
        <f>IF(D987="","-",+C1013+1)</f>
        <v>2035</v>
      </c>
      <c r="D1014" s="471">
        <f t="shared" si="62"/>
        <v>134526.22420634926</v>
      </c>
      <c r="E1014" s="515">
        <f t="shared" si="65"/>
        <v>6380.6904761904761</v>
      </c>
      <c r="F1014" s="471">
        <f t="shared" si="60"/>
        <v>128145.53373015879</v>
      </c>
      <c r="G1014" s="950">
        <f t="shared" si="63"/>
        <v>20851.215000536693</v>
      </c>
      <c r="H1014" s="953">
        <f t="shared" si="64"/>
        <v>20851.215000536693</v>
      </c>
      <c r="I1014" s="512">
        <f t="shared" si="61"/>
        <v>0</v>
      </c>
      <c r="J1014" s="512"/>
      <c r="K1014" s="649"/>
      <c r="L1014" s="518"/>
      <c r="M1014" s="649"/>
      <c r="N1014" s="518"/>
      <c r="O1014" s="518"/>
    </row>
    <row r="1015" spans="3:15">
      <c r="C1015" s="508">
        <f>IF(D987="","-",+C1014+1)</f>
        <v>2036</v>
      </c>
      <c r="D1015" s="471">
        <f t="shared" si="62"/>
        <v>128145.53373015879</v>
      </c>
      <c r="E1015" s="515">
        <f t="shared" si="65"/>
        <v>6380.6904761904761</v>
      </c>
      <c r="F1015" s="471">
        <f t="shared" si="60"/>
        <v>121764.84325396831</v>
      </c>
      <c r="G1015" s="950">
        <f t="shared" si="63"/>
        <v>20148.1935661555</v>
      </c>
      <c r="H1015" s="953">
        <f t="shared" si="64"/>
        <v>20148.1935661555</v>
      </c>
      <c r="I1015" s="512">
        <f t="shared" si="61"/>
        <v>0</v>
      </c>
      <c r="J1015" s="512"/>
      <c r="K1015" s="649"/>
      <c r="L1015" s="518"/>
      <c r="M1015" s="649"/>
      <c r="N1015" s="518"/>
      <c r="O1015" s="518"/>
    </row>
    <row r="1016" spans="3:15">
      <c r="C1016" s="508">
        <f>IF(D987="","-",+C1015+1)</f>
        <v>2037</v>
      </c>
      <c r="D1016" s="471">
        <f t="shared" si="62"/>
        <v>121764.84325396831</v>
      </c>
      <c r="E1016" s="515">
        <f t="shared" si="65"/>
        <v>6380.6904761904761</v>
      </c>
      <c r="F1016" s="471">
        <f t="shared" si="60"/>
        <v>115384.15277777784</v>
      </c>
      <c r="G1016" s="950">
        <f t="shared" si="63"/>
        <v>19445.17213177431</v>
      </c>
      <c r="H1016" s="953">
        <f t="shared" si="64"/>
        <v>19445.17213177431</v>
      </c>
      <c r="I1016" s="512">
        <f t="shared" si="61"/>
        <v>0</v>
      </c>
      <c r="J1016" s="512"/>
      <c r="K1016" s="649"/>
      <c r="L1016" s="518"/>
      <c r="M1016" s="649"/>
      <c r="N1016" s="518"/>
      <c r="O1016" s="518"/>
    </row>
    <row r="1017" spans="3:15">
      <c r="C1017" s="508">
        <f>IF(D987="","-",+C1016+1)</f>
        <v>2038</v>
      </c>
      <c r="D1017" s="471">
        <f t="shared" si="62"/>
        <v>115384.15277777784</v>
      </c>
      <c r="E1017" s="515">
        <f t="shared" si="65"/>
        <v>6380.6904761904761</v>
      </c>
      <c r="F1017" s="471">
        <f t="shared" si="60"/>
        <v>109003.46230158737</v>
      </c>
      <c r="G1017" s="950">
        <f t="shared" si="63"/>
        <v>18742.150697393117</v>
      </c>
      <c r="H1017" s="953">
        <f t="shared" si="64"/>
        <v>18742.150697393117</v>
      </c>
      <c r="I1017" s="512">
        <f t="shared" si="61"/>
        <v>0</v>
      </c>
      <c r="J1017" s="512"/>
      <c r="K1017" s="649"/>
      <c r="L1017" s="518"/>
      <c r="M1017" s="649"/>
      <c r="N1017" s="518"/>
      <c r="O1017" s="518"/>
    </row>
    <row r="1018" spans="3:15">
      <c r="C1018" s="508">
        <f>IF(D987="","-",+C1017+1)</f>
        <v>2039</v>
      </c>
      <c r="D1018" s="471">
        <f t="shared" si="62"/>
        <v>109003.46230158737</v>
      </c>
      <c r="E1018" s="515">
        <f t="shared" si="65"/>
        <v>6380.6904761904761</v>
      </c>
      <c r="F1018" s="471">
        <f t="shared" si="60"/>
        <v>102622.77182539689</v>
      </c>
      <c r="G1018" s="950">
        <f t="shared" si="63"/>
        <v>18039.129263011924</v>
      </c>
      <c r="H1018" s="953">
        <f t="shared" si="64"/>
        <v>18039.129263011924</v>
      </c>
      <c r="I1018" s="512">
        <f t="shared" si="61"/>
        <v>0</v>
      </c>
      <c r="J1018" s="512"/>
      <c r="K1018" s="649"/>
      <c r="L1018" s="518"/>
      <c r="M1018" s="649"/>
      <c r="N1018" s="518"/>
      <c r="O1018" s="518"/>
    </row>
    <row r="1019" spans="3:15">
      <c r="C1019" s="508">
        <f>IF(D987="","-",+C1018+1)</f>
        <v>2040</v>
      </c>
      <c r="D1019" s="471">
        <f t="shared" si="62"/>
        <v>102622.77182539689</v>
      </c>
      <c r="E1019" s="515">
        <f t="shared" si="65"/>
        <v>6380.6904761904761</v>
      </c>
      <c r="F1019" s="471">
        <f t="shared" si="60"/>
        <v>96242.081349206419</v>
      </c>
      <c r="G1019" s="950">
        <f t="shared" si="63"/>
        <v>17336.107828630731</v>
      </c>
      <c r="H1019" s="953">
        <f t="shared" si="64"/>
        <v>17336.107828630731</v>
      </c>
      <c r="I1019" s="512">
        <f t="shared" si="61"/>
        <v>0</v>
      </c>
      <c r="J1019" s="512"/>
      <c r="K1019" s="649"/>
      <c r="L1019" s="518"/>
      <c r="M1019" s="649"/>
      <c r="N1019" s="518"/>
      <c r="O1019" s="518"/>
    </row>
    <row r="1020" spans="3:15">
      <c r="C1020" s="508">
        <f>IF(D987="","-",+C1019+1)</f>
        <v>2041</v>
      </c>
      <c r="D1020" s="471">
        <f t="shared" si="62"/>
        <v>96242.081349206419</v>
      </c>
      <c r="E1020" s="515">
        <f t="shared" si="65"/>
        <v>6380.6904761904761</v>
      </c>
      <c r="F1020" s="471">
        <f t="shared" si="60"/>
        <v>89861.390873015946</v>
      </c>
      <c r="G1020" s="950">
        <f t="shared" si="63"/>
        <v>16633.086394249542</v>
      </c>
      <c r="H1020" s="953">
        <f t="shared" si="64"/>
        <v>16633.086394249542</v>
      </c>
      <c r="I1020" s="512">
        <f t="shared" si="61"/>
        <v>0</v>
      </c>
      <c r="J1020" s="512"/>
      <c r="K1020" s="649"/>
      <c r="L1020" s="518"/>
      <c r="M1020" s="649"/>
      <c r="N1020" s="518"/>
      <c r="O1020" s="518"/>
    </row>
    <row r="1021" spans="3:15">
      <c r="C1021" s="508">
        <f>IF(D987="","-",+C1020+1)</f>
        <v>2042</v>
      </c>
      <c r="D1021" s="471">
        <f t="shared" si="62"/>
        <v>89861.390873015946</v>
      </c>
      <c r="E1021" s="515">
        <f t="shared" si="65"/>
        <v>6380.6904761904761</v>
      </c>
      <c r="F1021" s="471">
        <f t="shared" si="60"/>
        <v>83480.700396825472</v>
      </c>
      <c r="G1021" s="959">
        <f t="shared" si="63"/>
        <v>15930.064959868349</v>
      </c>
      <c r="H1021" s="953">
        <f t="shared" si="64"/>
        <v>15930.064959868349</v>
      </c>
      <c r="I1021" s="512">
        <f t="shared" si="61"/>
        <v>0</v>
      </c>
      <c r="J1021" s="512"/>
      <c r="K1021" s="649"/>
      <c r="L1021" s="518"/>
      <c r="M1021" s="649"/>
      <c r="N1021" s="518"/>
      <c r="O1021" s="518"/>
    </row>
    <row r="1022" spans="3:15">
      <c r="C1022" s="508">
        <f>IF(D987="","-",+C1021+1)</f>
        <v>2043</v>
      </c>
      <c r="D1022" s="471">
        <f t="shared" si="62"/>
        <v>83480.700396825472</v>
      </c>
      <c r="E1022" s="515">
        <f t="shared" si="65"/>
        <v>6380.6904761904761</v>
      </c>
      <c r="F1022" s="471">
        <f t="shared" si="60"/>
        <v>77100.009920634999</v>
      </c>
      <c r="G1022" s="950">
        <f t="shared" si="63"/>
        <v>15227.043525487155</v>
      </c>
      <c r="H1022" s="953">
        <f t="shared" si="64"/>
        <v>15227.043525487155</v>
      </c>
      <c r="I1022" s="512">
        <f t="shared" si="61"/>
        <v>0</v>
      </c>
      <c r="J1022" s="512"/>
      <c r="K1022" s="649"/>
      <c r="L1022" s="518"/>
      <c r="M1022" s="649"/>
      <c r="N1022" s="518"/>
      <c r="O1022" s="518"/>
    </row>
    <row r="1023" spans="3:15">
      <c r="C1023" s="508">
        <f>IF(D987="","-",+C1022+1)</f>
        <v>2044</v>
      </c>
      <c r="D1023" s="471">
        <f t="shared" si="62"/>
        <v>77100.009920634999</v>
      </c>
      <c r="E1023" s="515">
        <f t="shared" si="65"/>
        <v>6380.6904761904761</v>
      </c>
      <c r="F1023" s="471">
        <f t="shared" si="60"/>
        <v>70719.319444444525</v>
      </c>
      <c r="G1023" s="950">
        <f t="shared" si="63"/>
        <v>14524.022091105964</v>
      </c>
      <c r="H1023" s="953">
        <f t="shared" si="64"/>
        <v>14524.022091105964</v>
      </c>
      <c r="I1023" s="512">
        <f t="shared" si="61"/>
        <v>0</v>
      </c>
      <c r="J1023" s="512"/>
      <c r="K1023" s="649"/>
      <c r="L1023" s="518"/>
      <c r="M1023" s="649"/>
      <c r="N1023" s="518"/>
      <c r="O1023" s="518"/>
    </row>
    <row r="1024" spans="3:15">
      <c r="C1024" s="508">
        <f>IF(D987="","-",+C1023+1)</f>
        <v>2045</v>
      </c>
      <c r="D1024" s="471">
        <f t="shared" si="62"/>
        <v>70719.319444444525</v>
      </c>
      <c r="E1024" s="515">
        <f t="shared" si="65"/>
        <v>6380.6904761904761</v>
      </c>
      <c r="F1024" s="471">
        <f t="shared" si="60"/>
        <v>64338.628968254052</v>
      </c>
      <c r="G1024" s="950">
        <f t="shared" si="63"/>
        <v>13821.000656724773</v>
      </c>
      <c r="H1024" s="953">
        <f t="shared" si="64"/>
        <v>13821.000656724773</v>
      </c>
      <c r="I1024" s="512">
        <f t="shared" si="61"/>
        <v>0</v>
      </c>
      <c r="J1024" s="512"/>
      <c r="K1024" s="649"/>
      <c r="L1024" s="518"/>
      <c r="M1024" s="649"/>
      <c r="N1024" s="518"/>
      <c r="O1024" s="518"/>
    </row>
    <row r="1025" spans="3:15">
      <c r="C1025" s="508">
        <f>IF(D987="","-",+C1024+1)</f>
        <v>2046</v>
      </c>
      <c r="D1025" s="471">
        <f t="shared" si="62"/>
        <v>64338.628968254052</v>
      </c>
      <c r="E1025" s="515">
        <f t="shared" si="65"/>
        <v>6380.6904761904761</v>
      </c>
      <c r="F1025" s="471">
        <f t="shared" si="60"/>
        <v>57957.938492063578</v>
      </c>
      <c r="G1025" s="950">
        <f t="shared" si="63"/>
        <v>13117.97922234358</v>
      </c>
      <c r="H1025" s="953">
        <f t="shared" si="64"/>
        <v>13117.97922234358</v>
      </c>
      <c r="I1025" s="512">
        <f t="shared" si="61"/>
        <v>0</v>
      </c>
      <c r="J1025" s="512"/>
      <c r="K1025" s="649"/>
      <c r="L1025" s="518"/>
      <c r="M1025" s="649"/>
      <c r="N1025" s="518"/>
      <c r="O1025" s="518"/>
    </row>
    <row r="1026" spans="3:15">
      <c r="C1026" s="508">
        <f>IF(D987="","-",+C1025+1)</f>
        <v>2047</v>
      </c>
      <c r="D1026" s="471">
        <f t="shared" si="62"/>
        <v>57957.938492063578</v>
      </c>
      <c r="E1026" s="515">
        <f t="shared" si="65"/>
        <v>6380.6904761904761</v>
      </c>
      <c r="F1026" s="471">
        <f t="shared" si="60"/>
        <v>51577.248015873105</v>
      </c>
      <c r="G1026" s="950">
        <f t="shared" si="63"/>
        <v>12414.957787962387</v>
      </c>
      <c r="H1026" s="953">
        <f t="shared" si="64"/>
        <v>12414.957787962387</v>
      </c>
      <c r="I1026" s="512">
        <f t="shared" si="61"/>
        <v>0</v>
      </c>
      <c r="J1026" s="512"/>
      <c r="K1026" s="649"/>
      <c r="L1026" s="518"/>
      <c r="M1026" s="649"/>
      <c r="N1026" s="518"/>
      <c r="O1026" s="518"/>
    </row>
    <row r="1027" spans="3:15">
      <c r="C1027" s="508">
        <f>IF(D987="","-",+C1026+1)</f>
        <v>2048</v>
      </c>
      <c r="D1027" s="471">
        <f t="shared" si="62"/>
        <v>51577.248015873105</v>
      </c>
      <c r="E1027" s="515">
        <f t="shared" si="65"/>
        <v>6380.6904761904761</v>
      </c>
      <c r="F1027" s="471">
        <f t="shared" si="60"/>
        <v>45196.557539682632</v>
      </c>
      <c r="G1027" s="950">
        <f t="shared" si="63"/>
        <v>11711.936353581195</v>
      </c>
      <c r="H1027" s="953">
        <f t="shared" si="64"/>
        <v>11711.936353581195</v>
      </c>
      <c r="I1027" s="512">
        <f t="shared" si="61"/>
        <v>0</v>
      </c>
      <c r="J1027" s="512"/>
      <c r="K1027" s="649"/>
      <c r="L1027" s="518"/>
      <c r="M1027" s="649"/>
      <c r="N1027" s="518"/>
      <c r="O1027" s="518"/>
    </row>
    <row r="1028" spans="3:15">
      <c r="C1028" s="508">
        <f>IF(D987="","-",+C1027+1)</f>
        <v>2049</v>
      </c>
      <c r="D1028" s="471">
        <f t="shared" si="62"/>
        <v>45196.557539682632</v>
      </c>
      <c r="E1028" s="515">
        <f t="shared" si="65"/>
        <v>6380.6904761904761</v>
      </c>
      <c r="F1028" s="471">
        <f t="shared" si="60"/>
        <v>38815.867063492158</v>
      </c>
      <c r="G1028" s="950">
        <f t="shared" si="63"/>
        <v>11008.914919200004</v>
      </c>
      <c r="H1028" s="953">
        <f t="shared" si="64"/>
        <v>11008.914919200004</v>
      </c>
      <c r="I1028" s="512">
        <f t="shared" si="61"/>
        <v>0</v>
      </c>
      <c r="J1028" s="512"/>
      <c r="K1028" s="649"/>
      <c r="L1028" s="518"/>
      <c r="M1028" s="649"/>
      <c r="N1028" s="518"/>
      <c r="O1028" s="518"/>
    </row>
    <row r="1029" spans="3:15">
      <c r="C1029" s="508">
        <f>IF(D987="","-",+C1028+1)</f>
        <v>2050</v>
      </c>
      <c r="D1029" s="471">
        <f t="shared" si="62"/>
        <v>38815.867063492158</v>
      </c>
      <c r="E1029" s="515">
        <f t="shared" si="65"/>
        <v>6380.6904761904761</v>
      </c>
      <c r="F1029" s="471">
        <f t="shared" si="60"/>
        <v>32435.176587301681</v>
      </c>
      <c r="G1029" s="950">
        <f t="shared" si="63"/>
        <v>10305.893484818811</v>
      </c>
      <c r="H1029" s="953">
        <f t="shared" si="64"/>
        <v>10305.893484818811</v>
      </c>
      <c r="I1029" s="512">
        <f t="shared" si="61"/>
        <v>0</v>
      </c>
      <c r="J1029" s="512"/>
      <c r="K1029" s="649"/>
      <c r="L1029" s="518"/>
      <c r="M1029" s="649"/>
      <c r="N1029" s="518"/>
      <c r="O1029" s="518"/>
    </row>
    <row r="1030" spans="3:15">
      <c r="C1030" s="508">
        <f>IF(D987="","-",+C1029+1)</f>
        <v>2051</v>
      </c>
      <c r="D1030" s="471">
        <f t="shared" si="62"/>
        <v>32435.176587301681</v>
      </c>
      <c r="E1030" s="515">
        <f t="shared" si="65"/>
        <v>6380.6904761904761</v>
      </c>
      <c r="F1030" s="471">
        <f t="shared" si="60"/>
        <v>26054.486111111204</v>
      </c>
      <c r="G1030" s="950">
        <f t="shared" si="63"/>
        <v>9602.8720504376179</v>
      </c>
      <c r="H1030" s="953">
        <f t="shared" si="64"/>
        <v>9602.8720504376179</v>
      </c>
      <c r="I1030" s="512">
        <f t="shared" si="61"/>
        <v>0</v>
      </c>
      <c r="J1030" s="512"/>
      <c r="K1030" s="649"/>
      <c r="L1030" s="518"/>
      <c r="M1030" s="649"/>
      <c r="N1030" s="518"/>
      <c r="O1030" s="518"/>
    </row>
    <row r="1031" spans="3:15">
      <c r="C1031" s="508">
        <f>IF(D987="","-",+C1030+1)</f>
        <v>2052</v>
      </c>
      <c r="D1031" s="471">
        <f t="shared" si="62"/>
        <v>26054.486111111204</v>
      </c>
      <c r="E1031" s="515">
        <f t="shared" si="65"/>
        <v>6380.6904761904761</v>
      </c>
      <c r="F1031" s="471">
        <f t="shared" si="60"/>
        <v>19673.795634920727</v>
      </c>
      <c r="G1031" s="950">
        <f t="shared" si="63"/>
        <v>8899.8506160564266</v>
      </c>
      <c r="H1031" s="953">
        <f t="shared" si="64"/>
        <v>8899.8506160564266</v>
      </c>
      <c r="I1031" s="512">
        <f t="shared" si="61"/>
        <v>0</v>
      </c>
      <c r="J1031" s="512"/>
      <c r="K1031" s="649"/>
      <c r="L1031" s="518"/>
      <c r="M1031" s="649"/>
      <c r="N1031" s="518"/>
      <c r="O1031" s="518"/>
    </row>
    <row r="1032" spans="3:15">
      <c r="C1032" s="508">
        <f>IF(D987="","-",+C1031+1)</f>
        <v>2053</v>
      </c>
      <c r="D1032" s="471">
        <f t="shared" si="62"/>
        <v>19673.795634920727</v>
      </c>
      <c r="E1032" s="515">
        <f t="shared" si="65"/>
        <v>6380.6904761904761</v>
      </c>
      <c r="F1032" s="471">
        <f t="shared" si="60"/>
        <v>13293.10515873025</v>
      </c>
      <c r="G1032" s="950">
        <f t="shared" si="63"/>
        <v>8196.8291816752335</v>
      </c>
      <c r="H1032" s="953">
        <f t="shared" si="64"/>
        <v>8196.8291816752335</v>
      </c>
      <c r="I1032" s="512">
        <f t="shared" si="61"/>
        <v>0</v>
      </c>
      <c r="J1032" s="512"/>
      <c r="K1032" s="649"/>
      <c r="L1032" s="518"/>
      <c r="M1032" s="649"/>
      <c r="N1032" s="518"/>
      <c r="O1032" s="518"/>
    </row>
    <row r="1033" spans="3:15">
      <c r="C1033" s="508">
        <f>IF(D987="","-",+C1032+1)</f>
        <v>2054</v>
      </c>
      <c r="D1033" s="471">
        <f t="shared" si="62"/>
        <v>13293.10515873025</v>
      </c>
      <c r="E1033" s="515">
        <f t="shared" si="65"/>
        <v>6380.6904761904761</v>
      </c>
      <c r="F1033" s="471">
        <f t="shared" si="60"/>
        <v>6912.4146825397738</v>
      </c>
      <c r="G1033" s="950">
        <f t="shared" si="63"/>
        <v>7493.8077472940404</v>
      </c>
      <c r="H1033" s="953">
        <f t="shared" si="64"/>
        <v>7493.8077472940404</v>
      </c>
      <c r="I1033" s="512">
        <f t="shared" si="61"/>
        <v>0</v>
      </c>
      <c r="J1033" s="512"/>
      <c r="K1033" s="649"/>
      <c r="L1033" s="518"/>
      <c r="M1033" s="649"/>
      <c r="N1033" s="518"/>
      <c r="O1033" s="518"/>
    </row>
    <row r="1034" spans="3:15">
      <c r="C1034" s="508">
        <f>IF(D987="","-",+C1033+1)</f>
        <v>2055</v>
      </c>
      <c r="D1034" s="471">
        <f t="shared" si="62"/>
        <v>6912.4146825397738</v>
      </c>
      <c r="E1034" s="515">
        <f t="shared" si="65"/>
        <v>6380.6904761904761</v>
      </c>
      <c r="F1034" s="471">
        <f t="shared" si="60"/>
        <v>531.72420634929767</v>
      </c>
      <c r="G1034" s="950">
        <f t="shared" si="63"/>
        <v>6790.7863129128482</v>
      </c>
      <c r="H1034" s="953">
        <f t="shared" si="64"/>
        <v>6790.7863129128482</v>
      </c>
      <c r="I1034" s="512">
        <f t="shared" si="61"/>
        <v>0</v>
      </c>
      <c r="J1034" s="512"/>
      <c r="K1034" s="649"/>
      <c r="L1034" s="518"/>
      <c r="M1034" s="649"/>
      <c r="N1034" s="518"/>
      <c r="O1034" s="518"/>
    </row>
    <row r="1035" spans="3:15">
      <c r="C1035" s="508">
        <f>IF(D987="","-",+C1034+1)</f>
        <v>2056</v>
      </c>
      <c r="D1035" s="471">
        <f t="shared" si="62"/>
        <v>531.72420634929767</v>
      </c>
      <c r="E1035" s="515">
        <f t="shared" si="65"/>
        <v>531.72420634929767</v>
      </c>
      <c r="F1035" s="471">
        <f t="shared" si="60"/>
        <v>0</v>
      </c>
      <c r="G1035" s="950">
        <f t="shared" si="63"/>
        <v>561.01676611518576</v>
      </c>
      <c r="H1035" s="953">
        <f t="shared" si="64"/>
        <v>561.01676611518576</v>
      </c>
      <c r="I1035" s="512">
        <f t="shared" si="61"/>
        <v>0</v>
      </c>
      <c r="J1035" s="512"/>
      <c r="K1035" s="649"/>
      <c r="L1035" s="518"/>
      <c r="M1035" s="649"/>
      <c r="N1035" s="518"/>
      <c r="O1035" s="518"/>
    </row>
    <row r="1036" spans="3:15">
      <c r="C1036" s="508">
        <f>IF(D987="","-",+C1035+1)</f>
        <v>2057</v>
      </c>
      <c r="D1036" s="471">
        <f t="shared" si="62"/>
        <v>0</v>
      </c>
      <c r="E1036" s="515">
        <f t="shared" si="65"/>
        <v>0</v>
      </c>
      <c r="F1036" s="471">
        <f t="shared" si="60"/>
        <v>0</v>
      </c>
      <c r="G1036" s="950">
        <f t="shared" si="63"/>
        <v>0</v>
      </c>
      <c r="H1036" s="953">
        <f t="shared" si="64"/>
        <v>0</v>
      </c>
      <c r="I1036" s="512">
        <f t="shared" si="61"/>
        <v>0</v>
      </c>
      <c r="J1036" s="512"/>
      <c r="K1036" s="649"/>
      <c r="L1036" s="518"/>
      <c r="M1036" s="649"/>
      <c r="N1036" s="518"/>
      <c r="O1036" s="518"/>
    </row>
    <row r="1037" spans="3:15">
      <c r="C1037" s="508">
        <f>IF(D987="","-",+C1036+1)</f>
        <v>2058</v>
      </c>
      <c r="D1037" s="471">
        <f t="shared" si="62"/>
        <v>0</v>
      </c>
      <c r="E1037" s="515">
        <f t="shared" si="65"/>
        <v>0</v>
      </c>
      <c r="F1037" s="471">
        <f t="shared" si="60"/>
        <v>0</v>
      </c>
      <c r="G1037" s="950">
        <f t="shared" si="63"/>
        <v>0</v>
      </c>
      <c r="H1037" s="953">
        <f t="shared" si="64"/>
        <v>0</v>
      </c>
      <c r="I1037" s="512">
        <f t="shared" si="61"/>
        <v>0</v>
      </c>
      <c r="J1037" s="512"/>
      <c r="K1037" s="649"/>
      <c r="L1037" s="518"/>
      <c r="M1037" s="649"/>
      <c r="N1037" s="518"/>
      <c r="O1037" s="518"/>
    </row>
    <row r="1038" spans="3:15">
      <c r="C1038" s="508">
        <f>IF(D987="","-",+C1037+1)</f>
        <v>2059</v>
      </c>
      <c r="D1038" s="471">
        <f t="shared" si="62"/>
        <v>0</v>
      </c>
      <c r="E1038" s="515">
        <f t="shared" si="65"/>
        <v>0</v>
      </c>
      <c r="F1038" s="471">
        <f t="shared" si="60"/>
        <v>0</v>
      </c>
      <c r="G1038" s="950">
        <f t="shared" si="63"/>
        <v>0</v>
      </c>
      <c r="H1038" s="953">
        <f t="shared" si="64"/>
        <v>0</v>
      </c>
      <c r="I1038" s="512">
        <f t="shared" si="61"/>
        <v>0</v>
      </c>
      <c r="J1038" s="512"/>
      <c r="K1038" s="649"/>
      <c r="L1038" s="518"/>
      <c r="M1038" s="649"/>
      <c r="N1038" s="518"/>
      <c r="O1038" s="518"/>
    </row>
    <row r="1039" spans="3:15">
      <c r="C1039" s="508">
        <f>IF(D987="","-",+C1038+1)</f>
        <v>2060</v>
      </c>
      <c r="D1039" s="471">
        <f t="shared" si="62"/>
        <v>0</v>
      </c>
      <c r="E1039" s="515">
        <f t="shared" si="65"/>
        <v>0</v>
      </c>
      <c r="F1039" s="471">
        <f t="shared" si="60"/>
        <v>0</v>
      </c>
      <c r="G1039" s="950">
        <f t="shared" si="63"/>
        <v>0</v>
      </c>
      <c r="H1039" s="953">
        <f t="shared" si="64"/>
        <v>0</v>
      </c>
      <c r="I1039" s="512">
        <f t="shared" si="61"/>
        <v>0</v>
      </c>
      <c r="J1039" s="512"/>
      <c r="K1039" s="649"/>
      <c r="L1039" s="518"/>
      <c r="M1039" s="649"/>
      <c r="N1039" s="518"/>
      <c r="O1039" s="518"/>
    </row>
    <row r="1040" spans="3:15">
      <c r="C1040" s="508">
        <f>IF(D987="","-",+C1039+1)</f>
        <v>2061</v>
      </c>
      <c r="D1040" s="471">
        <f t="shared" si="62"/>
        <v>0</v>
      </c>
      <c r="E1040" s="515">
        <f t="shared" si="65"/>
        <v>0</v>
      </c>
      <c r="F1040" s="471">
        <f t="shared" si="60"/>
        <v>0</v>
      </c>
      <c r="G1040" s="950">
        <f t="shared" si="63"/>
        <v>0</v>
      </c>
      <c r="H1040" s="953">
        <f t="shared" si="64"/>
        <v>0</v>
      </c>
      <c r="I1040" s="512">
        <f t="shared" si="61"/>
        <v>0</v>
      </c>
      <c r="J1040" s="512"/>
      <c r="K1040" s="649"/>
      <c r="L1040" s="518"/>
      <c r="M1040" s="649"/>
      <c r="N1040" s="518"/>
      <c r="O1040" s="518"/>
    </row>
    <row r="1041" spans="3:15">
      <c r="C1041" s="508">
        <f>IF(D987="","-",+C1040+1)</f>
        <v>2062</v>
      </c>
      <c r="D1041" s="471">
        <f t="shared" si="62"/>
        <v>0</v>
      </c>
      <c r="E1041" s="515">
        <f t="shared" si="65"/>
        <v>0</v>
      </c>
      <c r="F1041" s="471">
        <f t="shared" si="60"/>
        <v>0</v>
      </c>
      <c r="G1041" s="950">
        <f t="shared" si="63"/>
        <v>0</v>
      </c>
      <c r="H1041" s="953">
        <f t="shared" si="64"/>
        <v>0</v>
      </c>
      <c r="I1041" s="512">
        <f t="shared" si="61"/>
        <v>0</v>
      </c>
      <c r="J1041" s="512"/>
      <c r="K1041" s="649"/>
      <c r="L1041" s="518"/>
      <c r="M1041" s="649"/>
      <c r="N1041" s="518"/>
      <c r="O1041" s="518"/>
    </row>
    <row r="1042" spans="3:15">
      <c r="C1042" s="508">
        <f>IF(D987="","-",+C1041+1)</f>
        <v>2063</v>
      </c>
      <c r="D1042" s="471">
        <f t="shared" si="62"/>
        <v>0</v>
      </c>
      <c r="E1042" s="515">
        <f t="shared" si="65"/>
        <v>0</v>
      </c>
      <c r="F1042" s="471">
        <f t="shared" si="60"/>
        <v>0</v>
      </c>
      <c r="G1042" s="950">
        <f t="shared" si="63"/>
        <v>0</v>
      </c>
      <c r="H1042" s="953">
        <f t="shared" si="64"/>
        <v>0</v>
      </c>
      <c r="I1042" s="512">
        <f t="shared" si="61"/>
        <v>0</v>
      </c>
      <c r="J1042" s="512"/>
      <c r="K1042" s="649"/>
      <c r="L1042" s="518"/>
      <c r="M1042" s="649"/>
      <c r="N1042" s="518"/>
      <c r="O1042" s="518"/>
    </row>
    <row r="1043" spans="3:15">
      <c r="C1043" s="508">
        <f>IF(D987="","-",+C1042+1)</f>
        <v>2064</v>
      </c>
      <c r="D1043" s="471">
        <f t="shared" si="62"/>
        <v>0</v>
      </c>
      <c r="E1043" s="515">
        <f t="shared" si="65"/>
        <v>0</v>
      </c>
      <c r="F1043" s="471">
        <f t="shared" si="60"/>
        <v>0</v>
      </c>
      <c r="G1043" s="950">
        <f t="shared" si="63"/>
        <v>0</v>
      </c>
      <c r="H1043" s="953">
        <f t="shared" si="64"/>
        <v>0</v>
      </c>
      <c r="I1043" s="512">
        <f t="shared" si="61"/>
        <v>0</v>
      </c>
      <c r="J1043" s="512"/>
      <c r="K1043" s="649"/>
      <c r="L1043" s="518"/>
      <c r="M1043" s="649"/>
      <c r="N1043" s="518"/>
      <c r="O1043" s="518"/>
    </row>
    <row r="1044" spans="3:15">
      <c r="C1044" s="508">
        <f>IF(D987="","-",+C1043+1)</f>
        <v>2065</v>
      </c>
      <c r="D1044" s="471">
        <f t="shared" si="62"/>
        <v>0</v>
      </c>
      <c r="E1044" s="515">
        <f t="shared" si="65"/>
        <v>0</v>
      </c>
      <c r="F1044" s="471">
        <f t="shared" si="60"/>
        <v>0</v>
      </c>
      <c r="G1044" s="950">
        <f t="shared" si="63"/>
        <v>0</v>
      </c>
      <c r="H1044" s="953">
        <f t="shared" si="64"/>
        <v>0</v>
      </c>
      <c r="I1044" s="512">
        <f t="shared" si="61"/>
        <v>0</v>
      </c>
      <c r="J1044" s="512"/>
      <c r="K1044" s="649"/>
      <c r="L1044" s="518"/>
      <c r="M1044" s="649"/>
      <c r="N1044" s="518"/>
      <c r="O1044" s="518"/>
    </row>
    <row r="1045" spans="3:15">
      <c r="C1045" s="508">
        <f>IF(D987="","-",+C1044+1)</f>
        <v>2066</v>
      </c>
      <c r="D1045" s="471">
        <f t="shared" si="62"/>
        <v>0</v>
      </c>
      <c r="E1045" s="515">
        <f t="shared" si="65"/>
        <v>0</v>
      </c>
      <c r="F1045" s="471">
        <f t="shared" si="60"/>
        <v>0</v>
      </c>
      <c r="G1045" s="950">
        <f t="shared" si="63"/>
        <v>0</v>
      </c>
      <c r="H1045" s="953">
        <f t="shared" si="64"/>
        <v>0</v>
      </c>
      <c r="I1045" s="512">
        <f t="shared" si="61"/>
        <v>0</v>
      </c>
      <c r="J1045" s="512"/>
      <c r="K1045" s="649"/>
      <c r="L1045" s="518"/>
      <c r="M1045" s="649"/>
      <c r="N1045" s="518"/>
      <c r="O1045" s="518"/>
    </row>
    <row r="1046" spans="3:15">
      <c r="C1046" s="508">
        <f>IF(D987="","-",+C1045+1)</f>
        <v>2067</v>
      </c>
      <c r="D1046" s="471">
        <f t="shared" si="62"/>
        <v>0</v>
      </c>
      <c r="E1046" s="515">
        <f t="shared" si="65"/>
        <v>0</v>
      </c>
      <c r="F1046" s="471">
        <f t="shared" si="60"/>
        <v>0</v>
      </c>
      <c r="G1046" s="950">
        <f t="shared" si="63"/>
        <v>0</v>
      </c>
      <c r="H1046" s="953">
        <f t="shared" si="64"/>
        <v>0</v>
      </c>
      <c r="I1046" s="512">
        <f t="shared" si="61"/>
        <v>0</v>
      </c>
      <c r="J1046" s="512"/>
      <c r="K1046" s="649"/>
      <c r="L1046" s="518"/>
      <c r="M1046" s="649"/>
      <c r="N1046" s="518"/>
      <c r="O1046" s="518"/>
    </row>
    <row r="1047" spans="3:15">
      <c r="C1047" s="508">
        <f>IF(D987="","-",+C1046+1)</f>
        <v>2068</v>
      </c>
      <c r="D1047" s="471">
        <f t="shared" si="62"/>
        <v>0</v>
      </c>
      <c r="E1047" s="515">
        <f t="shared" si="65"/>
        <v>0</v>
      </c>
      <c r="F1047" s="471">
        <f t="shared" si="60"/>
        <v>0</v>
      </c>
      <c r="G1047" s="950">
        <f t="shared" si="63"/>
        <v>0</v>
      </c>
      <c r="H1047" s="953">
        <f t="shared" si="64"/>
        <v>0</v>
      </c>
      <c r="I1047" s="512">
        <f t="shared" si="61"/>
        <v>0</v>
      </c>
      <c r="J1047" s="512"/>
      <c r="K1047" s="649"/>
      <c r="L1047" s="518"/>
      <c r="M1047" s="649"/>
      <c r="N1047" s="518"/>
      <c r="O1047" s="518"/>
    </row>
    <row r="1048" spans="3:15">
      <c r="C1048" s="508">
        <f>IF(D987="","-",+C1047+1)</f>
        <v>2069</v>
      </c>
      <c r="D1048" s="471">
        <f t="shared" si="62"/>
        <v>0</v>
      </c>
      <c r="E1048" s="515">
        <f t="shared" si="65"/>
        <v>0</v>
      </c>
      <c r="F1048" s="471">
        <f t="shared" si="60"/>
        <v>0</v>
      </c>
      <c r="G1048" s="950">
        <f t="shared" si="63"/>
        <v>0</v>
      </c>
      <c r="H1048" s="953">
        <f t="shared" si="64"/>
        <v>0</v>
      </c>
      <c r="I1048" s="512">
        <f t="shared" si="61"/>
        <v>0</v>
      </c>
      <c r="J1048" s="512"/>
      <c r="K1048" s="649"/>
      <c r="L1048" s="518"/>
      <c r="M1048" s="649"/>
      <c r="N1048" s="518"/>
      <c r="O1048" s="518"/>
    </row>
    <row r="1049" spans="3:15">
      <c r="C1049" s="508">
        <f>IF(D987="","-",+C1048+1)</f>
        <v>2070</v>
      </c>
      <c r="D1049" s="471">
        <f t="shared" si="62"/>
        <v>0</v>
      </c>
      <c r="E1049" s="515">
        <f t="shared" si="65"/>
        <v>0</v>
      </c>
      <c r="F1049" s="471">
        <f t="shared" si="60"/>
        <v>0</v>
      </c>
      <c r="G1049" s="950">
        <f t="shared" si="63"/>
        <v>0</v>
      </c>
      <c r="H1049" s="953">
        <f t="shared" si="64"/>
        <v>0</v>
      </c>
      <c r="I1049" s="512">
        <f t="shared" si="61"/>
        <v>0</v>
      </c>
      <c r="J1049" s="512"/>
      <c r="K1049" s="649"/>
      <c r="L1049" s="518"/>
      <c r="M1049" s="649"/>
      <c r="N1049" s="518"/>
      <c r="O1049" s="518"/>
    </row>
    <row r="1050" spans="3:15">
      <c r="C1050" s="508">
        <f>IF(D987="","-",+C1049+1)</f>
        <v>2071</v>
      </c>
      <c r="D1050" s="471">
        <f t="shared" si="62"/>
        <v>0</v>
      </c>
      <c r="E1050" s="515">
        <f t="shared" si="65"/>
        <v>0</v>
      </c>
      <c r="F1050" s="471">
        <f t="shared" si="60"/>
        <v>0</v>
      </c>
      <c r="G1050" s="950">
        <f t="shared" si="63"/>
        <v>0</v>
      </c>
      <c r="H1050" s="953">
        <f t="shared" si="64"/>
        <v>0</v>
      </c>
      <c r="I1050" s="512">
        <f t="shared" si="61"/>
        <v>0</v>
      </c>
      <c r="J1050" s="512"/>
      <c r="K1050" s="649"/>
      <c r="L1050" s="518"/>
      <c r="M1050" s="649"/>
      <c r="N1050" s="518"/>
      <c r="O1050" s="518"/>
    </row>
    <row r="1051" spans="3:15">
      <c r="C1051" s="508">
        <f>IF(D987="","-",+C1050+1)</f>
        <v>2072</v>
      </c>
      <c r="D1051" s="471">
        <f t="shared" si="62"/>
        <v>0</v>
      </c>
      <c r="E1051" s="515">
        <f t="shared" si="65"/>
        <v>0</v>
      </c>
      <c r="F1051" s="471">
        <f t="shared" si="60"/>
        <v>0</v>
      </c>
      <c r="G1051" s="950">
        <f t="shared" si="63"/>
        <v>0</v>
      </c>
      <c r="H1051" s="953">
        <f t="shared" si="64"/>
        <v>0</v>
      </c>
      <c r="I1051" s="512">
        <f t="shared" si="61"/>
        <v>0</v>
      </c>
      <c r="J1051" s="512"/>
      <c r="K1051" s="649"/>
      <c r="L1051" s="518"/>
      <c r="M1051" s="649"/>
      <c r="N1051" s="518"/>
      <c r="O1051" s="518"/>
    </row>
    <row r="1052" spans="3:15" ht="13.5" thickBot="1">
      <c r="C1052" s="520">
        <f>IF(D987="","-",+C1051+1)</f>
        <v>2073</v>
      </c>
      <c r="D1052" s="521">
        <f t="shared" si="62"/>
        <v>0</v>
      </c>
      <c r="E1052" s="522">
        <f t="shared" si="65"/>
        <v>0</v>
      </c>
      <c r="F1052" s="521">
        <f t="shared" si="60"/>
        <v>0</v>
      </c>
      <c r="G1052" s="960">
        <f t="shared" si="63"/>
        <v>0</v>
      </c>
      <c r="H1052" s="960">
        <f t="shared" si="64"/>
        <v>0</v>
      </c>
      <c r="I1052" s="524">
        <f t="shared" si="61"/>
        <v>0</v>
      </c>
      <c r="J1052" s="512"/>
      <c r="K1052" s="650"/>
      <c r="L1052" s="526"/>
      <c r="M1052" s="650"/>
      <c r="N1052" s="526"/>
      <c r="O1052" s="526"/>
    </row>
    <row r="1053" spans="3:15">
      <c r="C1053" s="471" t="s">
        <v>288</v>
      </c>
      <c r="D1053" s="931"/>
      <c r="E1053" s="931">
        <f>SUM(E993:E1052)</f>
        <v>267989</v>
      </c>
      <c r="F1053" s="931"/>
      <c r="G1053" s="931">
        <f>SUM(G993:G1052)</f>
        <v>890514.48014454625</v>
      </c>
      <c r="H1053" s="931">
        <f>SUM(H993:H1052)</f>
        <v>890514.48014454625</v>
      </c>
      <c r="I1053" s="931">
        <f>SUM(I993:I1052)</f>
        <v>0</v>
      </c>
      <c r="J1053" s="931"/>
      <c r="K1053" s="931"/>
      <c r="L1053" s="931"/>
      <c r="M1053" s="931"/>
      <c r="N1053" s="931"/>
      <c r="O1053" s="4"/>
    </row>
    <row r="1054" spans="3:15">
      <c r="D1054" s="78"/>
      <c r="E1054" s="4"/>
      <c r="F1054" s="4"/>
      <c r="G1054" s="4"/>
      <c r="H1054" s="930"/>
      <c r="I1054" s="930"/>
      <c r="J1054" s="931"/>
      <c r="K1054" s="930"/>
      <c r="L1054" s="930"/>
      <c r="M1054" s="930"/>
      <c r="N1054" s="930"/>
      <c r="O1054" s="4"/>
    </row>
    <row r="1055" spans="3:15">
      <c r="C1055" s="4" t="s">
        <v>600</v>
      </c>
      <c r="D1055" s="78"/>
      <c r="E1055" s="4"/>
      <c r="F1055" s="4"/>
      <c r="G1055" s="4"/>
      <c r="H1055" s="930"/>
      <c r="I1055" s="930"/>
      <c r="J1055" s="931"/>
      <c r="K1055" s="930"/>
      <c r="L1055" s="930"/>
      <c r="M1055" s="930"/>
      <c r="N1055" s="930"/>
      <c r="O1055" s="4"/>
    </row>
    <row r="1056" spans="3:15">
      <c r="D1056" s="78"/>
      <c r="E1056" s="4"/>
      <c r="F1056" s="4"/>
      <c r="G1056" s="4"/>
      <c r="H1056" s="930"/>
      <c r="I1056" s="930"/>
      <c r="J1056" s="931"/>
      <c r="K1056" s="930"/>
      <c r="L1056" s="930"/>
      <c r="M1056" s="930"/>
      <c r="N1056" s="930"/>
      <c r="O1056" s="4"/>
    </row>
    <row r="1057" spans="1:16">
      <c r="C1057" s="4" t="s">
        <v>601</v>
      </c>
      <c r="D1057" s="471"/>
      <c r="E1057" s="471"/>
      <c r="F1057" s="471"/>
      <c r="G1057" s="931"/>
      <c r="H1057" s="931"/>
      <c r="I1057" s="473"/>
      <c r="J1057" s="473"/>
      <c r="K1057" s="473"/>
      <c r="L1057" s="473"/>
      <c r="M1057" s="473"/>
      <c r="N1057" s="473"/>
      <c r="O1057" s="4"/>
    </row>
    <row r="1058" spans="1:16">
      <c r="C1058" s="4" t="s">
        <v>476</v>
      </c>
      <c r="D1058" s="471"/>
      <c r="E1058" s="471"/>
      <c r="F1058" s="471"/>
      <c r="G1058" s="931"/>
      <c r="H1058" s="931"/>
      <c r="I1058" s="473"/>
      <c r="J1058" s="473"/>
      <c r="K1058" s="473"/>
      <c r="L1058" s="473"/>
      <c r="M1058" s="473"/>
      <c r="N1058" s="473"/>
      <c r="O1058" s="4"/>
    </row>
    <row r="1059" spans="1:16">
      <c r="C1059" s="4" t="s">
        <v>289</v>
      </c>
      <c r="D1059" s="471"/>
      <c r="E1059" s="471"/>
      <c r="F1059" s="471"/>
      <c r="G1059" s="931"/>
      <c r="H1059" s="931"/>
      <c r="I1059" s="473"/>
      <c r="J1059" s="473"/>
      <c r="K1059" s="473"/>
      <c r="L1059" s="473"/>
      <c r="M1059" s="473"/>
      <c r="N1059" s="473"/>
      <c r="O1059" s="4"/>
    </row>
    <row r="1060" spans="1:16">
      <c r="C1060" s="472"/>
      <c r="D1060" s="471"/>
      <c r="E1060" s="471"/>
      <c r="F1060" s="471"/>
      <c r="G1060" s="931"/>
      <c r="H1060" s="931"/>
      <c r="I1060" s="473"/>
      <c r="J1060" s="473"/>
      <c r="K1060" s="473"/>
      <c r="L1060" s="473"/>
      <c r="M1060" s="473"/>
      <c r="N1060" s="473"/>
      <c r="O1060" s="4"/>
    </row>
    <row r="1061" spans="1:16">
      <c r="C1061" s="1303" t="s">
        <v>460</v>
      </c>
      <c r="D1061" s="1303"/>
      <c r="E1061" s="1303"/>
      <c r="F1061" s="1303"/>
      <c r="G1061" s="1303"/>
      <c r="H1061" s="1303"/>
      <c r="I1061" s="1303"/>
      <c r="J1061" s="1303"/>
      <c r="K1061" s="1303"/>
      <c r="L1061" s="1303"/>
      <c r="M1061" s="1303"/>
      <c r="N1061" s="1303"/>
      <c r="O1061" s="1303"/>
    </row>
    <row r="1062" spans="1:16">
      <c r="C1062" s="1303"/>
      <c r="D1062" s="1303"/>
      <c r="E1062" s="1303"/>
      <c r="F1062" s="1303"/>
      <c r="G1062" s="1303"/>
      <c r="H1062" s="1303"/>
      <c r="I1062" s="1303"/>
      <c r="J1062" s="1303"/>
      <c r="K1062" s="1303"/>
      <c r="L1062" s="1303"/>
      <c r="M1062" s="1303"/>
      <c r="N1062" s="1303"/>
      <c r="O1062" s="1303"/>
    </row>
    <row r="1063" spans="1:16" ht="20.25">
      <c r="A1063" s="413" t="s">
        <v>927</v>
      </c>
      <c r="B1063" s="4"/>
      <c r="C1063" s="4"/>
      <c r="D1063" s="78"/>
      <c r="E1063" s="4"/>
      <c r="F1063" s="80"/>
      <c r="G1063" s="4"/>
      <c r="H1063" s="930"/>
      <c r="K1063" s="11"/>
      <c r="L1063" s="11"/>
      <c r="M1063" s="11"/>
      <c r="N1063" s="11" t="str">
        <f>"Page "&amp;SUM(P$6:P1063)&amp;" of "</f>
        <v xml:space="preserve">Page 13 of </v>
      </c>
      <c r="O1063" s="414">
        <f>COUNT(P$6:P$59606)</f>
        <v>14</v>
      </c>
      <c r="P1063" s="4">
        <v>1</v>
      </c>
    </row>
    <row r="1064" spans="1:16">
      <c r="B1064" s="4"/>
      <c r="C1064" s="4"/>
      <c r="D1064" s="78"/>
      <c r="E1064" s="4"/>
      <c r="F1064" s="4"/>
      <c r="G1064" s="4"/>
      <c r="H1064" s="930"/>
      <c r="I1064" s="4"/>
      <c r="J1064" s="4"/>
      <c r="K1064" s="4"/>
      <c r="L1064" s="4"/>
      <c r="M1064" s="4"/>
      <c r="N1064" s="4"/>
      <c r="O1064" s="4"/>
    </row>
    <row r="1065" spans="1:16" ht="18">
      <c r="B1065" s="415" t="s">
        <v>174</v>
      </c>
      <c r="C1065" s="474" t="s">
        <v>290</v>
      </c>
      <c r="D1065" s="78"/>
      <c r="E1065" s="4"/>
      <c r="F1065" s="4"/>
      <c r="G1065" s="4"/>
      <c r="H1065" s="930"/>
      <c r="I1065" s="930"/>
      <c r="J1065" s="931"/>
      <c r="K1065" s="930"/>
      <c r="L1065" s="930"/>
      <c r="M1065" s="930"/>
      <c r="N1065" s="930"/>
      <c r="O1065" s="4"/>
    </row>
    <row r="1066" spans="1:16" ht="18.75">
      <c r="B1066" s="415"/>
      <c r="C1066" s="13"/>
      <c r="D1066" s="78"/>
      <c r="E1066" s="4"/>
      <c r="F1066" s="4"/>
      <c r="G1066" s="4"/>
      <c r="H1066" s="930"/>
      <c r="I1066" s="930"/>
      <c r="J1066" s="931"/>
      <c r="K1066" s="930"/>
      <c r="L1066" s="930"/>
      <c r="M1066" s="930"/>
      <c r="N1066" s="930"/>
      <c r="O1066" s="4"/>
    </row>
    <row r="1067" spans="1:16" ht="18.75">
      <c r="B1067" s="415"/>
      <c r="C1067" s="13" t="s">
        <v>291</v>
      </c>
      <c r="D1067" s="78"/>
      <c r="E1067" s="4"/>
      <c r="F1067" s="4"/>
      <c r="G1067" s="4"/>
      <c r="H1067" s="930"/>
      <c r="I1067" s="930"/>
      <c r="J1067" s="931"/>
      <c r="K1067" s="930"/>
      <c r="L1067" s="930"/>
      <c r="M1067" s="930"/>
      <c r="N1067" s="930"/>
      <c r="O1067" s="4"/>
    </row>
    <row r="1068" spans="1:16" ht="15.75" thickBot="1">
      <c r="C1068" s="250"/>
      <c r="D1068" s="78"/>
      <c r="E1068" s="4"/>
      <c r="F1068" s="4"/>
      <c r="G1068" s="4"/>
      <c r="H1068" s="930"/>
      <c r="I1068" s="930"/>
      <c r="J1068" s="931"/>
      <c r="K1068" s="930"/>
      <c r="L1068" s="930"/>
      <c r="M1068" s="930"/>
      <c r="N1068" s="930"/>
      <c r="O1068" s="4"/>
    </row>
    <row r="1069" spans="1:16" ht="15.75">
      <c r="C1069" s="416" t="s">
        <v>292</v>
      </c>
      <c r="D1069" s="78"/>
      <c r="E1069" s="4"/>
      <c r="F1069" s="4"/>
      <c r="G1069" s="932"/>
      <c r="H1069" s="4" t="s">
        <v>271</v>
      </c>
      <c r="I1069" s="4"/>
      <c r="J1069" s="4"/>
      <c r="K1069" s="475" t="s">
        <v>296</v>
      </c>
      <c r="L1069" s="476"/>
      <c r="M1069" s="477"/>
      <c r="N1069" s="933">
        <f>VLOOKUP(I1075,C1082:O1141,5)</f>
        <v>1232853.7941830782</v>
      </c>
      <c r="O1069" s="4"/>
    </row>
    <row r="1070" spans="1:16" ht="15.75">
      <c r="C1070" s="416"/>
      <c r="D1070" s="78"/>
      <c r="E1070" s="4"/>
      <c r="F1070" s="4"/>
      <c r="G1070" s="4"/>
      <c r="H1070" s="934"/>
      <c r="I1070" s="934"/>
      <c r="J1070" s="935"/>
      <c r="K1070" s="480" t="s">
        <v>297</v>
      </c>
      <c r="L1070" s="936"/>
      <c r="M1070" s="4"/>
      <c r="N1070" s="937">
        <f>VLOOKUP(I1075,C1082:O1141,6)</f>
        <v>1232853.7941830782</v>
      </c>
      <c r="O1070" s="4"/>
    </row>
    <row r="1071" spans="1:16" ht="13.5" thickBot="1">
      <c r="C1071" s="481" t="s">
        <v>293</v>
      </c>
      <c r="D1071" s="1304" t="s">
        <v>940</v>
      </c>
      <c r="E1071" s="1304"/>
      <c r="F1071" s="1304"/>
      <c r="G1071" s="1304"/>
      <c r="H1071" s="1304"/>
      <c r="I1071" s="930"/>
      <c r="J1071" s="931"/>
      <c r="K1071" s="938" t="s">
        <v>450</v>
      </c>
      <c r="L1071" s="939"/>
      <c r="M1071" s="939"/>
      <c r="N1071" s="940">
        <f>+N1070-N1069</f>
        <v>0</v>
      </c>
      <c r="O1071" s="4"/>
    </row>
    <row r="1072" spans="1:16">
      <c r="C1072" s="483"/>
      <c r="D1072" s="484"/>
      <c r="E1072" s="471"/>
      <c r="F1072" s="471"/>
      <c r="G1072" s="485"/>
      <c r="H1072" s="930"/>
      <c r="I1072" s="930"/>
      <c r="J1072" s="931"/>
      <c r="K1072" s="930"/>
      <c r="L1072" s="930"/>
      <c r="M1072" s="930"/>
      <c r="N1072" s="930"/>
      <c r="O1072" s="4"/>
    </row>
    <row r="1073" spans="1:15" ht="13.5" thickBot="1">
      <c r="C1073" s="483"/>
      <c r="D1073" s="4"/>
      <c r="E1073" s="485"/>
      <c r="F1073" s="485"/>
      <c r="G1073" s="485"/>
      <c r="H1073" s="485"/>
      <c r="I1073" s="485"/>
      <c r="J1073" s="485"/>
      <c r="K1073" s="485"/>
      <c r="L1073" s="485"/>
      <c r="M1073" s="485"/>
      <c r="N1073" s="485"/>
      <c r="O1073" s="4"/>
    </row>
    <row r="1074" spans="1:15" ht="13.5" thickBot="1">
      <c r="C1074" s="487" t="s">
        <v>294</v>
      </c>
      <c r="D1074" s="488"/>
      <c r="E1074" s="488"/>
      <c r="F1074" s="488"/>
      <c r="G1074" s="488"/>
      <c r="H1074" s="488"/>
      <c r="I1074" s="489"/>
      <c r="K1074" s="4"/>
      <c r="L1074" s="4"/>
      <c r="M1074" s="4"/>
      <c r="N1074" s="4"/>
      <c r="O1074" s="4"/>
    </row>
    <row r="1075" spans="1:15" ht="15">
      <c r="C1075" s="490" t="s">
        <v>272</v>
      </c>
      <c r="D1075" s="941">
        <v>9292117</v>
      </c>
      <c r="E1075" s="4" t="s">
        <v>273</v>
      </c>
      <c r="G1075" s="78"/>
      <c r="H1075" s="78"/>
      <c r="I1075" s="491">
        <v>2018</v>
      </c>
      <c r="J1075" s="134"/>
      <c r="K1075" s="1302" t="s">
        <v>459</v>
      </c>
      <c r="L1075" s="1302"/>
      <c r="M1075" s="1302"/>
      <c r="N1075" s="1302"/>
      <c r="O1075" s="1302"/>
    </row>
    <row r="1076" spans="1:15">
      <c r="C1076" s="490" t="s">
        <v>275</v>
      </c>
      <c r="D1076" s="979">
        <v>2017</v>
      </c>
      <c r="E1076" s="490" t="s">
        <v>276</v>
      </c>
      <c r="F1076" s="78"/>
      <c r="H1076"/>
      <c r="I1076" s="647">
        <f>IF(G1069="",0,$F$15)</f>
        <v>0</v>
      </c>
      <c r="J1076" s="492"/>
      <c r="K1076" s="931" t="s">
        <v>459</v>
      </c>
    </row>
    <row r="1077" spans="1:15">
      <c r="C1077" s="490" t="s">
        <v>277</v>
      </c>
      <c r="D1077" s="941">
        <v>12</v>
      </c>
      <c r="E1077" s="490" t="s">
        <v>278</v>
      </c>
      <c r="F1077" s="78"/>
      <c r="H1077"/>
      <c r="I1077" s="493">
        <f>$G$70</f>
        <v>0.11017952320434825</v>
      </c>
      <c r="J1077" s="80"/>
      <c r="K1077" t="str">
        <f>"          INPUT PROJECTED ARR (WITH &amp; WITHOUT INCENTIVES) FROM EACH PRIOR YEAR"</f>
        <v xml:space="preserve">          INPUT PROJECTED ARR (WITH &amp; WITHOUT INCENTIVES) FROM EACH PRIOR YEAR</v>
      </c>
    </row>
    <row r="1078" spans="1:15">
      <c r="C1078" s="490" t="s">
        <v>279</v>
      </c>
      <c r="D1078" s="494">
        <f>G$79</f>
        <v>42</v>
      </c>
      <c r="E1078" s="490" t="s">
        <v>280</v>
      </c>
      <c r="F1078" s="78"/>
      <c r="H1078"/>
      <c r="I1078" s="493">
        <f>IF(G1069="",I1077,$G$67)</f>
        <v>0.11017952320434825</v>
      </c>
      <c r="J1078" s="80"/>
      <c r="K1078" t="s">
        <v>357</v>
      </c>
    </row>
    <row r="1079" spans="1:15" ht="13.5" thickBot="1">
      <c r="C1079" s="490" t="s">
        <v>281</v>
      </c>
      <c r="D1079" s="646" t="s">
        <v>929</v>
      </c>
      <c r="E1079" s="495" t="s">
        <v>282</v>
      </c>
      <c r="F1079" s="496"/>
      <c r="G1079" s="497"/>
      <c r="H1079" s="497"/>
      <c r="I1079" s="940">
        <f>IF(D1075=0,0,D1075/D1078)</f>
        <v>221240.88095238095</v>
      </c>
      <c r="J1079" s="931"/>
      <c r="K1079" s="931" t="s">
        <v>363</v>
      </c>
      <c r="L1079" s="931"/>
      <c r="M1079" s="931"/>
      <c r="N1079" s="931"/>
      <c r="O1079" s="4"/>
    </row>
    <row r="1080" spans="1:15" ht="51">
      <c r="A1080" s="12"/>
      <c r="B1080" s="12"/>
      <c r="C1080" s="498" t="s">
        <v>272</v>
      </c>
      <c r="D1080" s="943" t="s">
        <v>283</v>
      </c>
      <c r="E1080" s="944" t="s">
        <v>284</v>
      </c>
      <c r="F1080" s="943" t="s">
        <v>285</v>
      </c>
      <c r="G1080" s="944" t="s">
        <v>356</v>
      </c>
      <c r="H1080" s="945" t="s">
        <v>356</v>
      </c>
      <c r="I1080" s="498" t="s">
        <v>295</v>
      </c>
      <c r="J1080" s="502"/>
      <c r="K1080" s="944" t="s">
        <v>365</v>
      </c>
      <c r="L1080" s="946"/>
      <c r="M1080" s="944" t="s">
        <v>365</v>
      </c>
      <c r="N1080" s="946"/>
      <c r="O1080" s="946"/>
    </row>
    <row r="1081" spans="1:15" ht="13.5" thickBot="1">
      <c r="C1081" s="503" t="s">
        <v>177</v>
      </c>
      <c r="D1081" s="504" t="s">
        <v>178</v>
      </c>
      <c r="E1081" s="503" t="s">
        <v>37</v>
      </c>
      <c r="F1081" s="504" t="s">
        <v>178</v>
      </c>
      <c r="G1081" s="947" t="s">
        <v>298</v>
      </c>
      <c r="H1081" s="948" t="s">
        <v>300</v>
      </c>
      <c r="I1081" s="503" t="s">
        <v>389</v>
      </c>
      <c r="J1081" s="507"/>
      <c r="K1081" s="947" t="s">
        <v>287</v>
      </c>
      <c r="L1081" s="949"/>
      <c r="M1081" s="947" t="s">
        <v>300</v>
      </c>
      <c r="N1081" s="949"/>
      <c r="O1081" s="949"/>
    </row>
    <row r="1082" spans="1:15">
      <c r="C1082" s="508">
        <f>IF(D1076= "","-",D1076)</f>
        <v>2017</v>
      </c>
      <c r="D1082" s="471">
        <f>+D1075</f>
        <v>9292117</v>
      </c>
      <c r="E1082" s="950">
        <f>+I1079/12*(12-D1077)</f>
        <v>0</v>
      </c>
      <c r="F1082" s="471">
        <f t="shared" ref="F1082:F1141" si="66">+D1082-E1082</f>
        <v>9292117</v>
      </c>
      <c r="G1082" s="951">
        <f>+$I$988*((D1082+F1082)/2)+E1082</f>
        <v>1023801.0206190188</v>
      </c>
      <c r="H1082" s="952">
        <f>+$I$989*((D1082+F1082)/2)+E1082</f>
        <v>1023801.0206190188</v>
      </c>
      <c r="I1082" s="512">
        <f t="shared" ref="I1082:I1141" si="67">+H1082-G1082</f>
        <v>0</v>
      </c>
      <c r="J1082" s="512"/>
      <c r="K1082" s="648"/>
      <c r="L1082" s="514"/>
      <c r="M1082" s="648"/>
      <c r="N1082" s="514"/>
      <c r="O1082" s="514"/>
    </row>
    <row r="1083" spans="1:15">
      <c r="C1083" s="954">
        <f>IF(D1076="","-",+C1082+1)</f>
        <v>2018</v>
      </c>
      <c r="D1083" s="955">
        <f t="shared" ref="D1083:D1141" si="68">F1082</f>
        <v>9292117</v>
      </c>
      <c r="E1083" s="956">
        <f>IF(D1083&gt;$I$1079,$I$1079,D1083)</f>
        <v>221240.88095238095</v>
      </c>
      <c r="F1083" s="955">
        <f t="shared" si="66"/>
        <v>9070876.1190476194</v>
      </c>
      <c r="G1083" s="957">
        <f t="shared" ref="G1083:G1141" si="69">+$I$988*((D1083+F1083)/2)+E1083</f>
        <v>1232853.7941830782</v>
      </c>
      <c r="H1083" s="958">
        <f t="shared" ref="H1083:H1141" si="70">+$I$989*((D1083+F1083)/2)+E1083</f>
        <v>1232853.7941830782</v>
      </c>
      <c r="I1083" s="964">
        <f t="shared" si="67"/>
        <v>0</v>
      </c>
      <c r="J1083" s="512"/>
      <c r="K1083" s="649"/>
      <c r="L1083" s="518"/>
      <c r="M1083" s="649"/>
      <c r="N1083" s="518"/>
      <c r="O1083" s="518"/>
    </row>
    <row r="1084" spans="1:15">
      <c r="C1084" s="508">
        <f>IF(D1076="","-",+C1083+1)</f>
        <v>2019</v>
      </c>
      <c r="D1084" s="471">
        <f t="shared" si="68"/>
        <v>9070876.1190476194</v>
      </c>
      <c r="E1084" s="956">
        <f t="shared" ref="E1084:E1141" si="71">IF(D1084&gt;$I$1079,$I$1079,D1084)</f>
        <v>221240.88095238095</v>
      </c>
      <c r="F1084" s="471">
        <f t="shared" si="66"/>
        <v>8849635.2380952388</v>
      </c>
      <c r="G1084" s="950">
        <f t="shared" si="69"/>
        <v>1208477.5794064349</v>
      </c>
      <c r="H1084" s="953">
        <f t="shared" si="70"/>
        <v>1208477.5794064349</v>
      </c>
      <c r="I1084" s="512">
        <f t="shared" si="67"/>
        <v>0</v>
      </c>
      <c r="J1084" s="512"/>
      <c r="K1084" s="975"/>
      <c r="L1084" s="963"/>
      <c r="M1084" s="975"/>
      <c r="N1084" s="518"/>
      <c r="O1084" s="518"/>
    </row>
    <row r="1085" spans="1:15">
      <c r="C1085" s="508">
        <f>IF(D1076="","-",+C1084+1)</f>
        <v>2020</v>
      </c>
      <c r="D1085" s="471">
        <f t="shared" si="68"/>
        <v>8849635.2380952388</v>
      </c>
      <c r="E1085" s="956">
        <f t="shared" si="71"/>
        <v>221240.88095238095</v>
      </c>
      <c r="F1085" s="471">
        <f t="shared" si="66"/>
        <v>8628394.3571428582</v>
      </c>
      <c r="G1085" s="950">
        <f t="shared" si="69"/>
        <v>1184101.3646297916</v>
      </c>
      <c r="H1085" s="953">
        <f t="shared" si="70"/>
        <v>1184101.3646297916</v>
      </c>
      <c r="I1085" s="512">
        <f t="shared" si="67"/>
        <v>0</v>
      </c>
      <c r="J1085" s="512"/>
      <c r="K1085" s="649"/>
      <c r="L1085" s="518"/>
      <c r="M1085" s="649"/>
      <c r="N1085" s="518"/>
      <c r="O1085" s="518"/>
    </row>
    <row r="1086" spans="1:15">
      <c r="C1086" s="508">
        <f>IF(D1076="","-",+C1085+1)</f>
        <v>2021</v>
      </c>
      <c r="D1086" s="471">
        <f t="shared" si="68"/>
        <v>8628394.3571428582</v>
      </c>
      <c r="E1086" s="956">
        <f t="shared" si="71"/>
        <v>221240.88095238095</v>
      </c>
      <c r="F1086" s="471">
        <f t="shared" si="66"/>
        <v>8407153.4761904776</v>
      </c>
      <c r="G1086" s="950">
        <f t="shared" si="69"/>
        <v>1159725.1498531485</v>
      </c>
      <c r="H1086" s="953">
        <f t="shared" si="70"/>
        <v>1159725.1498531485</v>
      </c>
      <c r="I1086" s="512">
        <f t="shared" si="67"/>
        <v>0</v>
      </c>
      <c r="J1086" s="512"/>
      <c r="K1086" s="649"/>
      <c r="L1086" s="518"/>
      <c r="M1086" s="649"/>
      <c r="N1086" s="518"/>
      <c r="O1086" s="518"/>
    </row>
    <row r="1087" spans="1:15">
      <c r="C1087" s="508">
        <f>IF(D1076="","-",+C1086+1)</f>
        <v>2022</v>
      </c>
      <c r="D1087" s="471">
        <f t="shared" si="68"/>
        <v>8407153.4761904776</v>
      </c>
      <c r="E1087" s="956">
        <f t="shared" si="71"/>
        <v>221240.88095238095</v>
      </c>
      <c r="F1087" s="471">
        <f t="shared" si="66"/>
        <v>8185912.595238097</v>
      </c>
      <c r="G1087" s="950">
        <f t="shared" si="69"/>
        <v>1135348.9350765049</v>
      </c>
      <c r="H1087" s="953">
        <f t="shared" si="70"/>
        <v>1135348.9350765049</v>
      </c>
      <c r="I1087" s="512">
        <f t="shared" si="67"/>
        <v>0</v>
      </c>
      <c r="J1087" s="512"/>
      <c r="K1087" s="649"/>
      <c r="L1087" s="518"/>
      <c r="M1087" s="649"/>
      <c r="N1087" s="518"/>
      <c r="O1087" s="518"/>
    </row>
    <row r="1088" spans="1:15">
      <c r="C1088" s="508">
        <f>IF(D1076="","-",+C1087+1)</f>
        <v>2023</v>
      </c>
      <c r="D1088" s="471">
        <f t="shared" si="68"/>
        <v>8185912.595238097</v>
      </c>
      <c r="E1088" s="956">
        <f t="shared" si="71"/>
        <v>221240.88095238095</v>
      </c>
      <c r="F1088" s="471">
        <f t="shared" si="66"/>
        <v>7964671.7142857164</v>
      </c>
      <c r="G1088" s="950">
        <f t="shared" si="69"/>
        <v>1110972.7202998619</v>
      </c>
      <c r="H1088" s="953">
        <f t="shared" si="70"/>
        <v>1110972.7202998619</v>
      </c>
      <c r="I1088" s="512">
        <f t="shared" si="67"/>
        <v>0</v>
      </c>
      <c r="J1088" s="512"/>
      <c r="K1088" s="649"/>
      <c r="L1088" s="518"/>
      <c r="M1088" s="649"/>
      <c r="N1088" s="518"/>
      <c r="O1088" s="518"/>
    </row>
    <row r="1089" spans="3:15">
      <c r="C1089" s="978">
        <f>IF(D1076="","-",+C1088+1)</f>
        <v>2024</v>
      </c>
      <c r="D1089" s="955">
        <f t="shared" si="68"/>
        <v>7964671.7142857164</v>
      </c>
      <c r="E1089" s="956">
        <f t="shared" si="71"/>
        <v>221240.88095238095</v>
      </c>
      <c r="F1089" s="955">
        <f t="shared" si="66"/>
        <v>7743430.8333333358</v>
      </c>
      <c r="G1089" s="957">
        <f t="shared" si="69"/>
        <v>1086596.5055232185</v>
      </c>
      <c r="H1089" s="958">
        <f t="shared" si="70"/>
        <v>1086596.5055232185</v>
      </c>
      <c r="I1089" s="964">
        <f t="shared" si="67"/>
        <v>0</v>
      </c>
      <c r="J1089" s="512"/>
      <c r="K1089" s="649"/>
      <c r="L1089" s="518"/>
      <c r="M1089" s="649"/>
      <c r="N1089" s="518"/>
      <c r="O1089" s="518"/>
    </row>
    <row r="1090" spans="3:15">
      <c r="C1090" s="508">
        <f>IF(D1076="","-",+C1089+1)</f>
        <v>2025</v>
      </c>
      <c r="D1090" s="471">
        <f t="shared" si="68"/>
        <v>7743430.8333333358</v>
      </c>
      <c r="E1090" s="956">
        <f t="shared" si="71"/>
        <v>221240.88095238095</v>
      </c>
      <c r="F1090" s="471">
        <f t="shared" si="66"/>
        <v>7522189.9523809552</v>
      </c>
      <c r="G1090" s="950">
        <f t="shared" si="69"/>
        <v>1062220.2907465752</v>
      </c>
      <c r="H1090" s="953">
        <f t="shared" si="70"/>
        <v>1062220.2907465752</v>
      </c>
      <c r="I1090" s="512">
        <f t="shared" si="67"/>
        <v>0</v>
      </c>
      <c r="J1090" s="512"/>
      <c r="K1090" s="649"/>
      <c r="L1090" s="518"/>
      <c r="M1090" s="649"/>
      <c r="N1090" s="518"/>
      <c r="O1090" s="518"/>
    </row>
    <row r="1091" spans="3:15">
      <c r="C1091" s="508">
        <f>IF(D1076="","-",+C1090+1)</f>
        <v>2026</v>
      </c>
      <c r="D1091" s="471">
        <f t="shared" si="68"/>
        <v>7522189.9523809552</v>
      </c>
      <c r="E1091" s="956">
        <f t="shared" si="71"/>
        <v>221240.88095238095</v>
      </c>
      <c r="F1091" s="471">
        <f t="shared" si="66"/>
        <v>7300949.0714285746</v>
      </c>
      <c r="G1091" s="950">
        <f t="shared" si="69"/>
        <v>1037844.075969932</v>
      </c>
      <c r="H1091" s="953">
        <f t="shared" si="70"/>
        <v>1037844.075969932</v>
      </c>
      <c r="I1091" s="512">
        <f t="shared" si="67"/>
        <v>0</v>
      </c>
      <c r="J1091" s="512"/>
      <c r="K1091" s="649"/>
      <c r="L1091" s="518"/>
      <c r="M1091" s="649"/>
      <c r="N1091" s="518"/>
      <c r="O1091" s="518"/>
    </row>
    <row r="1092" spans="3:15">
      <c r="C1092" s="508">
        <f>IF(D1076="","-",+C1091+1)</f>
        <v>2027</v>
      </c>
      <c r="D1092" s="471">
        <f t="shared" si="68"/>
        <v>7300949.0714285746</v>
      </c>
      <c r="E1092" s="956">
        <f t="shared" si="71"/>
        <v>221240.88095238095</v>
      </c>
      <c r="F1092" s="471">
        <f t="shared" si="66"/>
        <v>7079708.190476194</v>
      </c>
      <c r="G1092" s="950">
        <f t="shared" si="69"/>
        <v>1013467.8611932887</v>
      </c>
      <c r="H1092" s="953">
        <f t="shared" si="70"/>
        <v>1013467.8611932887</v>
      </c>
      <c r="I1092" s="512">
        <f t="shared" si="67"/>
        <v>0</v>
      </c>
      <c r="J1092" s="512"/>
      <c r="K1092" s="649"/>
      <c r="L1092" s="518"/>
      <c r="M1092" s="649"/>
      <c r="N1092" s="518"/>
      <c r="O1092" s="518"/>
    </row>
    <row r="1093" spans="3:15">
      <c r="C1093" s="508">
        <f>IF(D1076="","-",+C1092+1)</f>
        <v>2028</v>
      </c>
      <c r="D1093" s="471">
        <f t="shared" si="68"/>
        <v>7079708.190476194</v>
      </c>
      <c r="E1093" s="956">
        <f t="shared" si="71"/>
        <v>221240.88095238095</v>
      </c>
      <c r="F1093" s="471">
        <f t="shared" si="66"/>
        <v>6858467.3095238134</v>
      </c>
      <c r="G1093" s="950">
        <f t="shared" si="69"/>
        <v>989091.6464166455</v>
      </c>
      <c r="H1093" s="953">
        <f t="shared" si="70"/>
        <v>989091.6464166455</v>
      </c>
      <c r="I1093" s="512">
        <f t="shared" si="67"/>
        <v>0</v>
      </c>
      <c r="J1093" s="512"/>
      <c r="K1093" s="649"/>
      <c r="L1093" s="518"/>
      <c r="M1093" s="649"/>
      <c r="N1093" s="518"/>
      <c r="O1093" s="518"/>
    </row>
    <row r="1094" spans="3:15">
      <c r="C1094" s="508">
        <f>IF(D1076="","-",+C1093+1)</f>
        <v>2029</v>
      </c>
      <c r="D1094" s="471">
        <f t="shared" si="68"/>
        <v>6858467.3095238134</v>
      </c>
      <c r="E1094" s="956">
        <f t="shared" si="71"/>
        <v>221240.88095238095</v>
      </c>
      <c r="F1094" s="471">
        <f t="shared" si="66"/>
        <v>6637226.4285714328</v>
      </c>
      <c r="G1094" s="950">
        <f t="shared" si="69"/>
        <v>964715.43164000218</v>
      </c>
      <c r="H1094" s="953">
        <f t="shared" si="70"/>
        <v>964715.43164000218</v>
      </c>
      <c r="I1094" s="512">
        <f t="shared" si="67"/>
        <v>0</v>
      </c>
      <c r="J1094" s="512"/>
      <c r="K1094" s="649"/>
      <c r="L1094" s="518"/>
      <c r="M1094" s="649"/>
      <c r="N1094" s="519"/>
      <c r="O1094" s="518"/>
    </row>
    <row r="1095" spans="3:15">
      <c r="C1095" s="508">
        <f>IF(D1076="","-",+C1094+1)</f>
        <v>2030</v>
      </c>
      <c r="D1095" s="471">
        <f t="shared" si="68"/>
        <v>6637226.4285714328</v>
      </c>
      <c r="E1095" s="956">
        <f t="shared" si="71"/>
        <v>221240.88095238095</v>
      </c>
      <c r="F1095" s="471">
        <f t="shared" si="66"/>
        <v>6415985.5476190522</v>
      </c>
      <c r="G1095" s="950">
        <f t="shared" si="69"/>
        <v>940339.21686335898</v>
      </c>
      <c r="H1095" s="953">
        <f t="shared" si="70"/>
        <v>940339.21686335898</v>
      </c>
      <c r="I1095" s="512">
        <f t="shared" si="67"/>
        <v>0</v>
      </c>
      <c r="J1095" s="512"/>
      <c r="K1095" s="649"/>
      <c r="L1095" s="518"/>
      <c r="M1095" s="649"/>
      <c r="N1095" s="518"/>
      <c r="O1095" s="518"/>
    </row>
    <row r="1096" spans="3:15">
      <c r="C1096" s="508">
        <f>IF(D1076="","-",+C1095+1)</f>
        <v>2031</v>
      </c>
      <c r="D1096" s="471">
        <f t="shared" si="68"/>
        <v>6415985.5476190522</v>
      </c>
      <c r="E1096" s="956">
        <f t="shared" si="71"/>
        <v>221240.88095238095</v>
      </c>
      <c r="F1096" s="471">
        <f t="shared" si="66"/>
        <v>6194744.6666666716</v>
      </c>
      <c r="G1096" s="950">
        <f t="shared" si="69"/>
        <v>915963.00208671566</v>
      </c>
      <c r="H1096" s="953">
        <f t="shared" si="70"/>
        <v>915963.00208671566</v>
      </c>
      <c r="I1096" s="512">
        <f t="shared" si="67"/>
        <v>0</v>
      </c>
      <c r="J1096" s="512"/>
      <c r="K1096" s="649"/>
      <c r="L1096" s="518"/>
      <c r="M1096" s="649"/>
      <c r="N1096" s="518"/>
      <c r="O1096" s="518"/>
    </row>
    <row r="1097" spans="3:15">
      <c r="C1097" s="508">
        <f>IF(D1076="","-",+C1096+1)</f>
        <v>2032</v>
      </c>
      <c r="D1097" s="471">
        <f t="shared" si="68"/>
        <v>6194744.6666666716</v>
      </c>
      <c r="E1097" s="956">
        <f t="shared" si="71"/>
        <v>221240.88095238095</v>
      </c>
      <c r="F1097" s="471">
        <f t="shared" si="66"/>
        <v>5973503.785714291</v>
      </c>
      <c r="G1097" s="950">
        <f t="shared" si="69"/>
        <v>891586.78731007245</v>
      </c>
      <c r="H1097" s="953">
        <f t="shared" si="70"/>
        <v>891586.78731007245</v>
      </c>
      <c r="I1097" s="512">
        <f t="shared" si="67"/>
        <v>0</v>
      </c>
      <c r="J1097" s="512"/>
      <c r="K1097" s="649"/>
      <c r="L1097" s="518"/>
      <c r="M1097" s="649"/>
      <c r="N1097" s="518"/>
      <c r="O1097" s="518"/>
    </row>
    <row r="1098" spans="3:15">
      <c r="C1098" s="508">
        <f>IF(D1076="","-",+C1097+1)</f>
        <v>2033</v>
      </c>
      <c r="D1098" s="471">
        <f t="shared" si="68"/>
        <v>5973503.785714291</v>
      </c>
      <c r="E1098" s="956">
        <f t="shared" si="71"/>
        <v>221240.88095238095</v>
      </c>
      <c r="F1098" s="471">
        <f t="shared" si="66"/>
        <v>5752262.9047619104</v>
      </c>
      <c r="G1098" s="950">
        <f t="shared" si="69"/>
        <v>867210.57253342913</v>
      </c>
      <c r="H1098" s="953">
        <f t="shared" si="70"/>
        <v>867210.57253342913</v>
      </c>
      <c r="I1098" s="512">
        <f t="shared" si="67"/>
        <v>0</v>
      </c>
      <c r="J1098" s="512"/>
      <c r="K1098" s="649"/>
      <c r="L1098" s="518"/>
      <c r="M1098" s="649"/>
      <c r="N1098" s="518"/>
      <c r="O1098" s="518"/>
    </row>
    <row r="1099" spans="3:15">
      <c r="C1099" s="508">
        <f>IF(D1076="","-",+C1098+1)</f>
        <v>2034</v>
      </c>
      <c r="D1099" s="471">
        <f t="shared" si="68"/>
        <v>5752262.9047619104</v>
      </c>
      <c r="E1099" s="956">
        <f t="shared" si="71"/>
        <v>221240.88095238095</v>
      </c>
      <c r="F1099" s="471">
        <f t="shared" si="66"/>
        <v>5531022.0238095298</v>
      </c>
      <c r="G1099" s="950">
        <f t="shared" si="69"/>
        <v>842834.35775678593</v>
      </c>
      <c r="H1099" s="953">
        <f t="shared" si="70"/>
        <v>842834.35775678593</v>
      </c>
      <c r="I1099" s="512">
        <f t="shared" si="67"/>
        <v>0</v>
      </c>
      <c r="J1099" s="512"/>
      <c r="K1099" s="649"/>
      <c r="L1099" s="518"/>
      <c r="M1099" s="649"/>
      <c r="N1099" s="518"/>
      <c r="O1099" s="518"/>
    </row>
    <row r="1100" spans="3:15">
      <c r="C1100" s="508">
        <f>IF(D1076="","-",+C1099+1)</f>
        <v>2035</v>
      </c>
      <c r="D1100" s="471">
        <f t="shared" si="68"/>
        <v>5531022.0238095298</v>
      </c>
      <c r="E1100" s="956">
        <f t="shared" si="71"/>
        <v>221240.88095238095</v>
      </c>
      <c r="F1100" s="471">
        <f t="shared" si="66"/>
        <v>5309781.1428571492</v>
      </c>
      <c r="G1100" s="950">
        <f t="shared" si="69"/>
        <v>818458.14298014261</v>
      </c>
      <c r="H1100" s="953">
        <f t="shared" si="70"/>
        <v>818458.14298014261</v>
      </c>
      <c r="I1100" s="512">
        <f t="shared" si="67"/>
        <v>0</v>
      </c>
      <c r="J1100" s="512"/>
      <c r="K1100" s="649"/>
      <c r="L1100" s="518"/>
      <c r="M1100" s="649"/>
      <c r="N1100" s="518"/>
      <c r="O1100" s="518"/>
    </row>
    <row r="1101" spans="3:15">
      <c r="C1101" s="508">
        <f>IF(D1076="","-",+C1100+1)</f>
        <v>2036</v>
      </c>
      <c r="D1101" s="471">
        <f t="shared" si="68"/>
        <v>5309781.1428571492</v>
      </c>
      <c r="E1101" s="956">
        <f t="shared" si="71"/>
        <v>221240.88095238095</v>
      </c>
      <c r="F1101" s="471">
        <f t="shared" si="66"/>
        <v>5088540.2619047686</v>
      </c>
      <c r="G1101" s="950">
        <f t="shared" si="69"/>
        <v>794081.92820349929</v>
      </c>
      <c r="H1101" s="953">
        <f t="shared" si="70"/>
        <v>794081.92820349929</v>
      </c>
      <c r="I1101" s="512">
        <f t="shared" si="67"/>
        <v>0</v>
      </c>
      <c r="J1101" s="512"/>
      <c r="K1101" s="649"/>
      <c r="L1101" s="518"/>
      <c r="M1101" s="649"/>
      <c r="N1101" s="518"/>
      <c r="O1101" s="518"/>
    </row>
    <row r="1102" spans="3:15">
      <c r="C1102" s="508">
        <f>IF(D1076="","-",+C1101+1)</f>
        <v>2037</v>
      </c>
      <c r="D1102" s="471">
        <f t="shared" si="68"/>
        <v>5088540.2619047686</v>
      </c>
      <c r="E1102" s="956">
        <f t="shared" si="71"/>
        <v>221240.88095238095</v>
      </c>
      <c r="F1102" s="471">
        <f t="shared" si="66"/>
        <v>4867299.380952388</v>
      </c>
      <c r="G1102" s="950">
        <f t="shared" si="69"/>
        <v>769705.71342685609</v>
      </c>
      <c r="H1102" s="953">
        <f t="shared" si="70"/>
        <v>769705.71342685609</v>
      </c>
      <c r="I1102" s="512">
        <f t="shared" si="67"/>
        <v>0</v>
      </c>
      <c r="J1102" s="512"/>
      <c r="K1102" s="649"/>
      <c r="L1102" s="518"/>
      <c r="M1102" s="649"/>
      <c r="N1102" s="518"/>
      <c r="O1102" s="518"/>
    </row>
    <row r="1103" spans="3:15">
      <c r="C1103" s="508">
        <f>IF(D1076="","-",+C1102+1)</f>
        <v>2038</v>
      </c>
      <c r="D1103" s="471">
        <f t="shared" si="68"/>
        <v>4867299.380952388</v>
      </c>
      <c r="E1103" s="956">
        <f t="shared" si="71"/>
        <v>221240.88095238095</v>
      </c>
      <c r="F1103" s="471">
        <f t="shared" si="66"/>
        <v>4646058.5000000075</v>
      </c>
      <c r="G1103" s="950">
        <f t="shared" si="69"/>
        <v>745329.49865021277</v>
      </c>
      <c r="H1103" s="953">
        <f t="shared" si="70"/>
        <v>745329.49865021277</v>
      </c>
      <c r="I1103" s="512">
        <f t="shared" si="67"/>
        <v>0</v>
      </c>
      <c r="J1103" s="512"/>
      <c r="K1103" s="649"/>
      <c r="L1103" s="518"/>
      <c r="M1103" s="649"/>
      <c r="N1103" s="518"/>
      <c r="O1103" s="518"/>
    </row>
    <row r="1104" spans="3:15">
      <c r="C1104" s="508">
        <f>IF(D1076="","-",+C1103+1)</f>
        <v>2039</v>
      </c>
      <c r="D1104" s="471">
        <f t="shared" si="68"/>
        <v>4646058.5000000075</v>
      </c>
      <c r="E1104" s="956">
        <f t="shared" si="71"/>
        <v>221240.88095238095</v>
      </c>
      <c r="F1104" s="471">
        <f t="shared" si="66"/>
        <v>4424817.6190476269</v>
      </c>
      <c r="G1104" s="950">
        <f t="shared" si="69"/>
        <v>720953.28387356957</v>
      </c>
      <c r="H1104" s="953">
        <f t="shared" si="70"/>
        <v>720953.28387356957</v>
      </c>
      <c r="I1104" s="512">
        <f t="shared" si="67"/>
        <v>0</v>
      </c>
      <c r="J1104" s="512"/>
      <c r="K1104" s="649"/>
      <c r="L1104" s="518"/>
      <c r="M1104" s="649"/>
      <c r="N1104" s="518"/>
      <c r="O1104" s="518"/>
    </row>
    <row r="1105" spans="3:15">
      <c r="C1105" s="508">
        <f>IF(D1076="","-",+C1104+1)</f>
        <v>2040</v>
      </c>
      <c r="D1105" s="471">
        <f t="shared" si="68"/>
        <v>4424817.6190476269</v>
      </c>
      <c r="E1105" s="956">
        <f t="shared" si="71"/>
        <v>221240.88095238095</v>
      </c>
      <c r="F1105" s="471">
        <f t="shared" si="66"/>
        <v>4203576.7380952463</v>
      </c>
      <c r="G1105" s="950">
        <f t="shared" si="69"/>
        <v>696577.06909692637</v>
      </c>
      <c r="H1105" s="953">
        <f t="shared" si="70"/>
        <v>696577.06909692637</v>
      </c>
      <c r="I1105" s="512">
        <f t="shared" si="67"/>
        <v>0</v>
      </c>
      <c r="J1105" s="512"/>
      <c r="K1105" s="649"/>
      <c r="L1105" s="518"/>
      <c r="M1105" s="649"/>
      <c r="N1105" s="518"/>
      <c r="O1105" s="518"/>
    </row>
    <row r="1106" spans="3:15">
      <c r="C1106" s="508">
        <f>IF(D1076="","-",+C1105+1)</f>
        <v>2041</v>
      </c>
      <c r="D1106" s="471">
        <f t="shared" si="68"/>
        <v>4203576.7380952463</v>
      </c>
      <c r="E1106" s="956">
        <f t="shared" si="71"/>
        <v>221240.88095238095</v>
      </c>
      <c r="F1106" s="471">
        <f t="shared" si="66"/>
        <v>3982335.8571428652</v>
      </c>
      <c r="G1106" s="950">
        <f t="shared" si="69"/>
        <v>672200.85432028305</v>
      </c>
      <c r="H1106" s="953">
        <f t="shared" si="70"/>
        <v>672200.85432028305</v>
      </c>
      <c r="I1106" s="512">
        <f t="shared" si="67"/>
        <v>0</v>
      </c>
      <c r="J1106" s="512"/>
      <c r="K1106" s="649"/>
      <c r="L1106" s="518"/>
      <c r="M1106" s="649"/>
      <c r="N1106" s="518"/>
      <c r="O1106" s="518"/>
    </row>
    <row r="1107" spans="3:15">
      <c r="C1107" s="508">
        <f>IF(D1076="","-",+C1106+1)</f>
        <v>2042</v>
      </c>
      <c r="D1107" s="471">
        <f t="shared" si="68"/>
        <v>3982335.8571428652</v>
      </c>
      <c r="E1107" s="956">
        <f t="shared" si="71"/>
        <v>221240.88095238095</v>
      </c>
      <c r="F1107" s="471">
        <f t="shared" si="66"/>
        <v>3761094.9761904841</v>
      </c>
      <c r="G1107" s="950">
        <f t="shared" si="69"/>
        <v>647824.63954363973</v>
      </c>
      <c r="H1107" s="953">
        <f t="shared" si="70"/>
        <v>647824.63954363973</v>
      </c>
      <c r="I1107" s="512">
        <f t="shared" si="67"/>
        <v>0</v>
      </c>
      <c r="J1107" s="512"/>
      <c r="K1107" s="649"/>
      <c r="L1107" s="518"/>
      <c r="M1107" s="649"/>
      <c r="N1107" s="518"/>
      <c r="O1107" s="518"/>
    </row>
    <row r="1108" spans="3:15">
      <c r="C1108" s="508">
        <f>IF(D1076="","-",+C1107+1)</f>
        <v>2043</v>
      </c>
      <c r="D1108" s="471">
        <f t="shared" si="68"/>
        <v>3761094.9761904841</v>
      </c>
      <c r="E1108" s="956">
        <f t="shared" si="71"/>
        <v>221240.88095238095</v>
      </c>
      <c r="F1108" s="471">
        <f t="shared" si="66"/>
        <v>3539854.0952381031</v>
      </c>
      <c r="G1108" s="950">
        <f t="shared" si="69"/>
        <v>623448.42476699641</v>
      </c>
      <c r="H1108" s="953">
        <f t="shared" si="70"/>
        <v>623448.42476699641</v>
      </c>
      <c r="I1108" s="512">
        <f t="shared" si="67"/>
        <v>0</v>
      </c>
      <c r="J1108" s="512"/>
      <c r="K1108" s="649"/>
      <c r="L1108" s="518"/>
      <c r="M1108" s="649"/>
      <c r="N1108" s="518"/>
      <c r="O1108" s="518"/>
    </row>
    <row r="1109" spans="3:15">
      <c r="C1109" s="508">
        <f>IF(D1076="","-",+C1108+1)</f>
        <v>2044</v>
      </c>
      <c r="D1109" s="471">
        <f t="shared" si="68"/>
        <v>3539854.0952381031</v>
      </c>
      <c r="E1109" s="956">
        <f t="shared" si="71"/>
        <v>221240.88095238095</v>
      </c>
      <c r="F1109" s="471">
        <f t="shared" si="66"/>
        <v>3318613.214285722</v>
      </c>
      <c r="G1109" s="950">
        <f t="shared" si="69"/>
        <v>599072.20999035309</v>
      </c>
      <c r="H1109" s="953">
        <f t="shared" si="70"/>
        <v>599072.20999035309</v>
      </c>
      <c r="I1109" s="512">
        <f t="shared" si="67"/>
        <v>0</v>
      </c>
      <c r="J1109" s="512"/>
      <c r="K1109" s="649"/>
      <c r="L1109" s="518"/>
      <c r="M1109" s="649"/>
      <c r="N1109" s="518"/>
      <c r="O1109" s="518"/>
    </row>
    <row r="1110" spans="3:15">
      <c r="C1110" s="508">
        <f>IF(D1076="","-",+C1109+1)</f>
        <v>2045</v>
      </c>
      <c r="D1110" s="471">
        <f t="shared" si="68"/>
        <v>3318613.214285722</v>
      </c>
      <c r="E1110" s="956">
        <f t="shared" si="71"/>
        <v>221240.88095238095</v>
      </c>
      <c r="F1110" s="471">
        <f t="shared" si="66"/>
        <v>3097372.3333333409</v>
      </c>
      <c r="G1110" s="959">
        <f t="shared" si="69"/>
        <v>574695.99521370977</v>
      </c>
      <c r="H1110" s="953">
        <f t="shared" si="70"/>
        <v>574695.99521370977</v>
      </c>
      <c r="I1110" s="512">
        <f t="shared" si="67"/>
        <v>0</v>
      </c>
      <c r="J1110" s="512"/>
      <c r="K1110" s="649"/>
      <c r="L1110" s="518"/>
      <c r="M1110" s="649"/>
      <c r="N1110" s="518"/>
      <c r="O1110" s="518"/>
    </row>
    <row r="1111" spans="3:15">
      <c r="C1111" s="508">
        <f>IF(D1076="","-",+C1110+1)</f>
        <v>2046</v>
      </c>
      <c r="D1111" s="471">
        <f t="shared" si="68"/>
        <v>3097372.3333333409</v>
      </c>
      <c r="E1111" s="956">
        <f t="shared" si="71"/>
        <v>221240.88095238095</v>
      </c>
      <c r="F1111" s="471">
        <f t="shared" si="66"/>
        <v>2876131.4523809599</v>
      </c>
      <c r="G1111" s="950">
        <f t="shared" si="69"/>
        <v>550319.78043706645</v>
      </c>
      <c r="H1111" s="953">
        <f t="shared" si="70"/>
        <v>550319.78043706645</v>
      </c>
      <c r="I1111" s="512">
        <f t="shared" si="67"/>
        <v>0</v>
      </c>
      <c r="J1111" s="512"/>
      <c r="K1111" s="649"/>
      <c r="L1111" s="518"/>
      <c r="M1111" s="649"/>
      <c r="N1111" s="518"/>
      <c r="O1111" s="518"/>
    </row>
    <row r="1112" spans="3:15">
      <c r="C1112" s="508">
        <f>IF(D1076="","-",+C1111+1)</f>
        <v>2047</v>
      </c>
      <c r="D1112" s="471">
        <f t="shared" si="68"/>
        <v>2876131.4523809599</v>
      </c>
      <c r="E1112" s="956">
        <f t="shared" si="71"/>
        <v>221240.88095238095</v>
      </c>
      <c r="F1112" s="471">
        <f t="shared" si="66"/>
        <v>2654890.5714285788</v>
      </c>
      <c r="G1112" s="950">
        <f t="shared" si="69"/>
        <v>525943.56566042313</v>
      </c>
      <c r="H1112" s="953">
        <f t="shared" si="70"/>
        <v>525943.56566042313</v>
      </c>
      <c r="I1112" s="512">
        <f t="shared" si="67"/>
        <v>0</v>
      </c>
      <c r="J1112" s="512"/>
      <c r="K1112" s="649"/>
      <c r="L1112" s="518"/>
      <c r="M1112" s="649"/>
      <c r="N1112" s="518"/>
      <c r="O1112" s="518"/>
    </row>
    <row r="1113" spans="3:15">
      <c r="C1113" s="508">
        <f>IF(D1076="","-",+C1112+1)</f>
        <v>2048</v>
      </c>
      <c r="D1113" s="471">
        <f t="shared" si="68"/>
        <v>2654890.5714285788</v>
      </c>
      <c r="E1113" s="956">
        <f t="shared" si="71"/>
        <v>221240.88095238095</v>
      </c>
      <c r="F1113" s="471">
        <f t="shared" si="66"/>
        <v>2433649.6904761977</v>
      </c>
      <c r="G1113" s="950">
        <f t="shared" si="69"/>
        <v>501567.35088377976</v>
      </c>
      <c r="H1113" s="953">
        <f t="shared" si="70"/>
        <v>501567.35088377976</v>
      </c>
      <c r="I1113" s="512">
        <f t="shared" si="67"/>
        <v>0</v>
      </c>
      <c r="J1113" s="512"/>
      <c r="K1113" s="649"/>
      <c r="L1113" s="518"/>
      <c r="M1113" s="649"/>
      <c r="N1113" s="518"/>
      <c r="O1113" s="518"/>
    </row>
    <row r="1114" spans="3:15">
      <c r="C1114" s="508">
        <f>IF(D1076="","-",+C1113+1)</f>
        <v>2049</v>
      </c>
      <c r="D1114" s="471">
        <f t="shared" si="68"/>
        <v>2433649.6904761977</v>
      </c>
      <c r="E1114" s="956">
        <f t="shared" si="71"/>
        <v>221240.88095238095</v>
      </c>
      <c r="F1114" s="471">
        <f t="shared" si="66"/>
        <v>2212408.8095238167</v>
      </c>
      <c r="G1114" s="950">
        <f t="shared" si="69"/>
        <v>477191.1361071365</v>
      </c>
      <c r="H1114" s="953">
        <f t="shared" si="70"/>
        <v>477191.1361071365</v>
      </c>
      <c r="I1114" s="512">
        <f t="shared" si="67"/>
        <v>0</v>
      </c>
      <c r="J1114" s="512"/>
      <c r="K1114" s="649"/>
      <c r="L1114" s="518"/>
      <c r="M1114" s="649"/>
      <c r="N1114" s="518"/>
      <c r="O1114" s="518"/>
    </row>
    <row r="1115" spans="3:15">
      <c r="C1115" s="508">
        <f>IF(D1076="","-",+C1114+1)</f>
        <v>2050</v>
      </c>
      <c r="D1115" s="471">
        <f t="shared" si="68"/>
        <v>2212408.8095238167</v>
      </c>
      <c r="E1115" s="956">
        <f t="shared" si="71"/>
        <v>221240.88095238095</v>
      </c>
      <c r="F1115" s="471">
        <f t="shared" si="66"/>
        <v>1991167.9285714356</v>
      </c>
      <c r="G1115" s="950">
        <f t="shared" si="69"/>
        <v>452814.92133049312</v>
      </c>
      <c r="H1115" s="953">
        <f t="shared" si="70"/>
        <v>452814.92133049312</v>
      </c>
      <c r="I1115" s="512">
        <f t="shared" si="67"/>
        <v>0</v>
      </c>
      <c r="J1115" s="512"/>
      <c r="K1115" s="649"/>
      <c r="L1115" s="518"/>
      <c r="M1115" s="649"/>
      <c r="N1115" s="518"/>
      <c r="O1115" s="518"/>
    </row>
    <row r="1116" spans="3:15">
      <c r="C1116" s="508">
        <f>IF(D1076="","-",+C1115+1)</f>
        <v>2051</v>
      </c>
      <c r="D1116" s="471">
        <f t="shared" si="68"/>
        <v>1991167.9285714356</v>
      </c>
      <c r="E1116" s="956">
        <f t="shared" si="71"/>
        <v>221240.88095238095</v>
      </c>
      <c r="F1116" s="471">
        <f t="shared" si="66"/>
        <v>1769927.0476190546</v>
      </c>
      <c r="G1116" s="950">
        <f t="shared" si="69"/>
        <v>428438.70655384986</v>
      </c>
      <c r="H1116" s="953">
        <f t="shared" si="70"/>
        <v>428438.70655384986</v>
      </c>
      <c r="I1116" s="512">
        <f t="shared" si="67"/>
        <v>0</v>
      </c>
      <c r="J1116" s="512"/>
      <c r="K1116" s="649"/>
      <c r="L1116" s="518"/>
      <c r="M1116" s="649"/>
      <c r="N1116" s="518"/>
      <c r="O1116" s="518"/>
    </row>
    <row r="1117" spans="3:15">
      <c r="C1117" s="508">
        <f>IF(D1076="","-",+C1116+1)</f>
        <v>2052</v>
      </c>
      <c r="D1117" s="471">
        <f t="shared" si="68"/>
        <v>1769927.0476190546</v>
      </c>
      <c r="E1117" s="956">
        <f t="shared" si="71"/>
        <v>221240.88095238095</v>
      </c>
      <c r="F1117" s="471">
        <f t="shared" si="66"/>
        <v>1548686.1666666735</v>
      </c>
      <c r="G1117" s="950">
        <f t="shared" si="69"/>
        <v>404062.49177720654</v>
      </c>
      <c r="H1117" s="953">
        <f t="shared" si="70"/>
        <v>404062.49177720654</v>
      </c>
      <c r="I1117" s="512">
        <f t="shared" si="67"/>
        <v>0</v>
      </c>
      <c r="J1117" s="512"/>
      <c r="K1117" s="649"/>
      <c r="L1117" s="518"/>
      <c r="M1117" s="649"/>
      <c r="N1117" s="518"/>
      <c r="O1117" s="518"/>
    </row>
    <row r="1118" spans="3:15">
      <c r="C1118" s="508">
        <f>IF(D1076="","-",+C1117+1)</f>
        <v>2053</v>
      </c>
      <c r="D1118" s="471">
        <f t="shared" si="68"/>
        <v>1548686.1666666735</v>
      </c>
      <c r="E1118" s="956">
        <f t="shared" si="71"/>
        <v>221240.88095238095</v>
      </c>
      <c r="F1118" s="471">
        <f t="shared" si="66"/>
        <v>1327445.2857142924</v>
      </c>
      <c r="G1118" s="950">
        <f t="shared" si="69"/>
        <v>379686.27700056322</v>
      </c>
      <c r="H1118" s="953">
        <f t="shared" si="70"/>
        <v>379686.27700056322</v>
      </c>
      <c r="I1118" s="512">
        <f t="shared" si="67"/>
        <v>0</v>
      </c>
      <c r="J1118" s="512"/>
      <c r="K1118" s="649"/>
      <c r="L1118" s="518"/>
      <c r="M1118" s="649"/>
      <c r="N1118" s="518"/>
      <c r="O1118" s="518"/>
    </row>
    <row r="1119" spans="3:15">
      <c r="C1119" s="508">
        <f>IF(D1076="","-",+C1118+1)</f>
        <v>2054</v>
      </c>
      <c r="D1119" s="471">
        <f t="shared" si="68"/>
        <v>1327445.2857142924</v>
      </c>
      <c r="E1119" s="956">
        <f t="shared" si="71"/>
        <v>221240.88095238095</v>
      </c>
      <c r="F1119" s="471">
        <f t="shared" si="66"/>
        <v>1106204.4047619114</v>
      </c>
      <c r="G1119" s="950">
        <f t="shared" si="69"/>
        <v>355310.0622239199</v>
      </c>
      <c r="H1119" s="953">
        <f t="shared" si="70"/>
        <v>355310.0622239199</v>
      </c>
      <c r="I1119" s="512">
        <f t="shared" si="67"/>
        <v>0</v>
      </c>
      <c r="J1119" s="512"/>
      <c r="K1119" s="649"/>
      <c r="L1119" s="518"/>
      <c r="M1119" s="649"/>
      <c r="N1119" s="518"/>
      <c r="O1119" s="518"/>
    </row>
    <row r="1120" spans="3:15">
      <c r="C1120" s="508">
        <f>IF(D1076="","-",+C1119+1)</f>
        <v>2055</v>
      </c>
      <c r="D1120" s="471">
        <f t="shared" si="68"/>
        <v>1106204.4047619114</v>
      </c>
      <c r="E1120" s="956">
        <f t="shared" si="71"/>
        <v>221240.88095238095</v>
      </c>
      <c r="F1120" s="471">
        <f t="shared" si="66"/>
        <v>884963.52380953042</v>
      </c>
      <c r="G1120" s="950">
        <f t="shared" si="69"/>
        <v>330933.84744727652</v>
      </c>
      <c r="H1120" s="953">
        <f t="shared" si="70"/>
        <v>330933.84744727652</v>
      </c>
      <c r="I1120" s="512">
        <f t="shared" si="67"/>
        <v>0</v>
      </c>
      <c r="J1120" s="512"/>
      <c r="K1120" s="649"/>
      <c r="L1120" s="518"/>
      <c r="M1120" s="649"/>
      <c r="N1120" s="518"/>
      <c r="O1120" s="518"/>
    </row>
    <row r="1121" spans="3:15">
      <c r="C1121" s="508">
        <f>IF(D1076="","-",+C1120+1)</f>
        <v>2056</v>
      </c>
      <c r="D1121" s="471">
        <f t="shared" si="68"/>
        <v>884963.52380953042</v>
      </c>
      <c r="E1121" s="956">
        <f t="shared" si="71"/>
        <v>221240.88095238095</v>
      </c>
      <c r="F1121" s="471">
        <f t="shared" si="66"/>
        <v>663722.64285714948</v>
      </c>
      <c r="G1121" s="950">
        <f t="shared" si="69"/>
        <v>306557.63267063326</v>
      </c>
      <c r="H1121" s="953">
        <f t="shared" si="70"/>
        <v>306557.63267063326</v>
      </c>
      <c r="I1121" s="512">
        <f t="shared" si="67"/>
        <v>0</v>
      </c>
      <c r="J1121" s="512"/>
      <c r="K1121" s="649"/>
      <c r="L1121" s="518"/>
      <c r="M1121" s="649"/>
      <c r="N1121" s="518"/>
      <c r="O1121" s="518"/>
    </row>
    <row r="1122" spans="3:15">
      <c r="C1122" s="508">
        <f>IF(D1076="","-",+C1121+1)</f>
        <v>2057</v>
      </c>
      <c r="D1122" s="471">
        <f t="shared" si="68"/>
        <v>663722.64285714948</v>
      </c>
      <c r="E1122" s="956">
        <f t="shared" si="71"/>
        <v>221240.88095238095</v>
      </c>
      <c r="F1122" s="471">
        <f t="shared" si="66"/>
        <v>442481.76190476853</v>
      </c>
      <c r="G1122" s="950">
        <f t="shared" si="69"/>
        <v>282181.41789398994</v>
      </c>
      <c r="H1122" s="953">
        <f t="shared" si="70"/>
        <v>282181.41789398994</v>
      </c>
      <c r="I1122" s="512">
        <f t="shared" si="67"/>
        <v>0</v>
      </c>
      <c r="J1122" s="512"/>
      <c r="K1122" s="649"/>
      <c r="L1122" s="518"/>
      <c r="M1122" s="649"/>
      <c r="N1122" s="518"/>
      <c r="O1122" s="518"/>
    </row>
    <row r="1123" spans="3:15">
      <c r="C1123" s="508">
        <f>IF(D1076="","-",+C1122+1)</f>
        <v>2058</v>
      </c>
      <c r="D1123" s="471">
        <f t="shared" si="68"/>
        <v>442481.76190476853</v>
      </c>
      <c r="E1123" s="956">
        <f t="shared" si="71"/>
        <v>221240.88095238095</v>
      </c>
      <c r="F1123" s="471">
        <f t="shared" si="66"/>
        <v>221240.88095238758</v>
      </c>
      <c r="G1123" s="950">
        <f t="shared" si="69"/>
        <v>257805.20311734662</v>
      </c>
      <c r="H1123" s="953">
        <f t="shared" si="70"/>
        <v>257805.20311734662</v>
      </c>
      <c r="I1123" s="512">
        <f t="shared" si="67"/>
        <v>0</v>
      </c>
      <c r="J1123" s="512"/>
      <c r="K1123" s="649"/>
      <c r="L1123" s="518"/>
      <c r="M1123" s="649"/>
      <c r="N1123" s="518"/>
      <c r="O1123" s="518"/>
    </row>
    <row r="1124" spans="3:15">
      <c r="C1124" s="508">
        <f>IF(D1076="","-",+C1123+1)</f>
        <v>2059</v>
      </c>
      <c r="D1124" s="471">
        <f t="shared" si="68"/>
        <v>221240.88095238758</v>
      </c>
      <c r="E1124" s="956">
        <f t="shared" si="71"/>
        <v>221240.88095238095</v>
      </c>
      <c r="F1124" s="471">
        <f t="shared" si="66"/>
        <v>6.6356733441352844E-9</v>
      </c>
      <c r="G1124" s="950">
        <f t="shared" si="69"/>
        <v>233428.98834070333</v>
      </c>
      <c r="H1124" s="953">
        <f t="shared" si="70"/>
        <v>233428.98834070333</v>
      </c>
      <c r="I1124" s="512">
        <f t="shared" si="67"/>
        <v>0</v>
      </c>
      <c r="J1124" s="512"/>
      <c r="K1124" s="649"/>
      <c r="L1124" s="518"/>
      <c r="M1124" s="649"/>
      <c r="N1124" s="518"/>
      <c r="O1124" s="518"/>
    </row>
    <row r="1125" spans="3:15">
      <c r="C1125" s="508">
        <f>IF(D1076="","-",+C1124+1)</f>
        <v>2060</v>
      </c>
      <c r="D1125" s="471">
        <f t="shared" si="68"/>
        <v>6.6356733441352844E-9</v>
      </c>
      <c r="E1125" s="956">
        <f t="shared" si="71"/>
        <v>6.6356733441352844E-9</v>
      </c>
      <c r="F1125" s="471">
        <f t="shared" si="66"/>
        <v>0</v>
      </c>
      <c r="G1125" s="950">
        <f t="shared" si="69"/>
        <v>7.0012310067335986E-9</v>
      </c>
      <c r="H1125" s="953">
        <f t="shared" si="70"/>
        <v>7.0012310067335986E-9</v>
      </c>
      <c r="I1125" s="512">
        <f t="shared" si="67"/>
        <v>0</v>
      </c>
      <c r="J1125" s="512"/>
      <c r="K1125" s="649"/>
      <c r="L1125" s="518"/>
      <c r="M1125" s="649"/>
      <c r="N1125" s="518"/>
      <c r="O1125" s="518"/>
    </row>
    <row r="1126" spans="3:15">
      <c r="C1126" s="508">
        <f>IF(D1076="","-",+C1125+1)</f>
        <v>2061</v>
      </c>
      <c r="D1126" s="471">
        <f t="shared" si="68"/>
        <v>0</v>
      </c>
      <c r="E1126" s="956">
        <f t="shared" si="71"/>
        <v>0</v>
      </c>
      <c r="F1126" s="471">
        <f t="shared" si="66"/>
        <v>0</v>
      </c>
      <c r="G1126" s="950">
        <f t="shared" si="69"/>
        <v>0</v>
      </c>
      <c r="H1126" s="953">
        <f t="shared" si="70"/>
        <v>0</v>
      </c>
      <c r="I1126" s="512">
        <f t="shared" si="67"/>
        <v>0</v>
      </c>
      <c r="J1126" s="512"/>
      <c r="K1126" s="649"/>
      <c r="L1126" s="518"/>
      <c r="M1126" s="649"/>
      <c r="N1126" s="518"/>
      <c r="O1126" s="518"/>
    </row>
    <row r="1127" spans="3:15">
      <c r="C1127" s="508">
        <f>IF(D1076="","-",+C1126+1)</f>
        <v>2062</v>
      </c>
      <c r="D1127" s="471">
        <f t="shared" si="68"/>
        <v>0</v>
      </c>
      <c r="E1127" s="956">
        <f t="shared" si="71"/>
        <v>0</v>
      </c>
      <c r="F1127" s="471">
        <f t="shared" si="66"/>
        <v>0</v>
      </c>
      <c r="G1127" s="950">
        <f t="shared" si="69"/>
        <v>0</v>
      </c>
      <c r="H1127" s="953">
        <f t="shared" si="70"/>
        <v>0</v>
      </c>
      <c r="I1127" s="512">
        <f t="shared" si="67"/>
        <v>0</v>
      </c>
      <c r="J1127" s="512"/>
      <c r="K1127" s="649"/>
      <c r="L1127" s="518"/>
      <c r="M1127" s="649"/>
      <c r="N1127" s="518"/>
      <c r="O1127" s="518"/>
    </row>
    <row r="1128" spans="3:15">
      <c r="C1128" s="508">
        <f>IF(D1076="","-",+C1127+1)</f>
        <v>2063</v>
      </c>
      <c r="D1128" s="471">
        <f t="shared" si="68"/>
        <v>0</v>
      </c>
      <c r="E1128" s="956">
        <f t="shared" si="71"/>
        <v>0</v>
      </c>
      <c r="F1128" s="471">
        <f t="shared" si="66"/>
        <v>0</v>
      </c>
      <c r="G1128" s="950">
        <f t="shared" si="69"/>
        <v>0</v>
      </c>
      <c r="H1128" s="953">
        <f t="shared" si="70"/>
        <v>0</v>
      </c>
      <c r="I1128" s="512">
        <f t="shared" si="67"/>
        <v>0</v>
      </c>
      <c r="J1128" s="512"/>
      <c r="K1128" s="649"/>
      <c r="L1128" s="518"/>
      <c r="M1128" s="649"/>
      <c r="N1128" s="518"/>
      <c r="O1128" s="518"/>
    </row>
    <row r="1129" spans="3:15">
      <c r="C1129" s="508">
        <f>IF(D1076="","-",+C1128+1)</f>
        <v>2064</v>
      </c>
      <c r="D1129" s="471">
        <f t="shared" si="68"/>
        <v>0</v>
      </c>
      <c r="E1129" s="956">
        <f t="shared" si="71"/>
        <v>0</v>
      </c>
      <c r="F1129" s="471">
        <f t="shared" si="66"/>
        <v>0</v>
      </c>
      <c r="G1129" s="950">
        <f t="shared" si="69"/>
        <v>0</v>
      </c>
      <c r="H1129" s="953">
        <f t="shared" si="70"/>
        <v>0</v>
      </c>
      <c r="I1129" s="512">
        <f t="shared" si="67"/>
        <v>0</v>
      </c>
      <c r="J1129" s="512"/>
      <c r="K1129" s="649"/>
      <c r="L1129" s="518"/>
      <c r="M1129" s="649"/>
      <c r="N1129" s="518"/>
      <c r="O1129" s="518"/>
    </row>
    <row r="1130" spans="3:15">
      <c r="C1130" s="508">
        <f>IF(D1076="","-",+C1129+1)</f>
        <v>2065</v>
      </c>
      <c r="D1130" s="471">
        <f t="shared" si="68"/>
        <v>0</v>
      </c>
      <c r="E1130" s="956">
        <f t="shared" si="71"/>
        <v>0</v>
      </c>
      <c r="F1130" s="471">
        <f t="shared" si="66"/>
        <v>0</v>
      </c>
      <c r="G1130" s="950">
        <f t="shared" si="69"/>
        <v>0</v>
      </c>
      <c r="H1130" s="953">
        <f t="shared" si="70"/>
        <v>0</v>
      </c>
      <c r="I1130" s="512">
        <f t="shared" si="67"/>
        <v>0</v>
      </c>
      <c r="J1130" s="512"/>
      <c r="K1130" s="649"/>
      <c r="L1130" s="518"/>
      <c r="M1130" s="649"/>
      <c r="N1130" s="518"/>
      <c r="O1130" s="518"/>
    </row>
    <row r="1131" spans="3:15">
      <c r="C1131" s="508">
        <f>IF(D1076="","-",+C1130+1)</f>
        <v>2066</v>
      </c>
      <c r="D1131" s="471">
        <f t="shared" si="68"/>
        <v>0</v>
      </c>
      <c r="E1131" s="956">
        <f t="shared" si="71"/>
        <v>0</v>
      </c>
      <c r="F1131" s="471">
        <f t="shared" si="66"/>
        <v>0</v>
      </c>
      <c r="G1131" s="950">
        <f t="shared" si="69"/>
        <v>0</v>
      </c>
      <c r="H1131" s="953">
        <f t="shared" si="70"/>
        <v>0</v>
      </c>
      <c r="I1131" s="512">
        <f t="shared" si="67"/>
        <v>0</v>
      </c>
      <c r="J1131" s="512"/>
      <c r="K1131" s="649"/>
      <c r="L1131" s="518"/>
      <c r="M1131" s="649"/>
      <c r="N1131" s="518"/>
      <c r="O1131" s="518"/>
    </row>
    <row r="1132" spans="3:15">
      <c r="C1132" s="508">
        <f>IF(D1076="","-",+C1131+1)</f>
        <v>2067</v>
      </c>
      <c r="D1132" s="471">
        <f t="shared" si="68"/>
        <v>0</v>
      </c>
      <c r="E1132" s="956">
        <f t="shared" si="71"/>
        <v>0</v>
      </c>
      <c r="F1132" s="471">
        <f t="shared" si="66"/>
        <v>0</v>
      </c>
      <c r="G1132" s="950">
        <f t="shared" si="69"/>
        <v>0</v>
      </c>
      <c r="H1132" s="953">
        <f t="shared" si="70"/>
        <v>0</v>
      </c>
      <c r="I1132" s="512">
        <f t="shared" si="67"/>
        <v>0</v>
      </c>
      <c r="J1132" s="512"/>
      <c r="K1132" s="649"/>
      <c r="L1132" s="518"/>
      <c r="M1132" s="649"/>
      <c r="N1132" s="518"/>
      <c r="O1132" s="518"/>
    </row>
    <row r="1133" spans="3:15">
      <c r="C1133" s="508">
        <f>IF(D1076="","-",+C1132+1)</f>
        <v>2068</v>
      </c>
      <c r="D1133" s="471">
        <f t="shared" si="68"/>
        <v>0</v>
      </c>
      <c r="E1133" s="956">
        <f t="shared" si="71"/>
        <v>0</v>
      </c>
      <c r="F1133" s="471">
        <f t="shared" si="66"/>
        <v>0</v>
      </c>
      <c r="G1133" s="950">
        <f t="shared" si="69"/>
        <v>0</v>
      </c>
      <c r="H1133" s="953">
        <f t="shared" si="70"/>
        <v>0</v>
      </c>
      <c r="I1133" s="512">
        <f t="shared" si="67"/>
        <v>0</v>
      </c>
      <c r="J1133" s="512"/>
      <c r="K1133" s="649"/>
      <c r="L1133" s="518"/>
      <c r="M1133" s="649"/>
      <c r="N1133" s="518"/>
      <c r="O1133" s="518"/>
    </row>
    <row r="1134" spans="3:15">
      <c r="C1134" s="508">
        <f>IF(D1076="","-",+C1133+1)</f>
        <v>2069</v>
      </c>
      <c r="D1134" s="471">
        <f t="shared" si="68"/>
        <v>0</v>
      </c>
      <c r="E1134" s="956">
        <f t="shared" si="71"/>
        <v>0</v>
      </c>
      <c r="F1134" s="471">
        <f t="shared" si="66"/>
        <v>0</v>
      </c>
      <c r="G1134" s="950">
        <f t="shared" si="69"/>
        <v>0</v>
      </c>
      <c r="H1134" s="953">
        <f t="shared" si="70"/>
        <v>0</v>
      </c>
      <c r="I1134" s="512">
        <f t="shared" si="67"/>
        <v>0</v>
      </c>
      <c r="J1134" s="512"/>
      <c r="K1134" s="649"/>
      <c r="L1134" s="518"/>
      <c r="M1134" s="649"/>
      <c r="N1134" s="518"/>
      <c r="O1134" s="518"/>
    </row>
    <row r="1135" spans="3:15">
      <c r="C1135" s="508">
        <f>IF(D1076="","-",+C1134+1)</f>
        <v>2070</v>
      </c>
      <c r="D1135" s="471">
        <f t="shared" si="68"/>
        <v>0</v>
      </c>
      <c r="E1135" s="956">
        <f t="shared" si="71"/>
        <v>0</v>
      </c>
      <c r="F1135" s="471">
        <f t="shared" si="66"/>
        <v>0</v>
      </c>
      <c r="G1135" s="950">
        <f t="shared" si="69"/>
        <v>0</v>
      </c>
      <c r="H1135" s="953">
        <f t="shared" si="70"/>
        <v>0</v>
      </c>
      <c r="I1135" s="512">
        <f t="shared" si="67"/>
        <v>0</v>
      </c>
      <c r="J1135" s="512"/>
      <c r="K1135" s="649"/>
      <c r="L1135" s="518"/>
      <c r="M1135" s="649"/>
      <c r="N1135" s="518"/>
      <c r="O1135" s="518"/>
    </row>
    <row r="1136" spans="3:15">
      <c r="C1136" s="508">
        <f>IF(D1076="","-",+C1135+1)</f>
        <v>2071</v>
      </c>
      <c r="D1136" s="471">
        <f t="shared" si="68"/>
        <v>0</v>
      </c>
      <c r="E1136" s="956">
        <f t="shared" si="71"/>
        <v>0</v>
      </c>
      <c r="F1136" s="471">
        <f t="shared" si="66"/>
        <v>0</v>
      </c>
      <c r="G1136" s="950">
        <f t="shared" si="69"/>
        <v>0</v>
      </c>
      <c r="H1136" s="953">
        <f t="shared" si="70"/>
        <v>0</v>
      </c>
      <c r="I1136" s="512">
        <f t="shared" si="67"/>
        <v>0</v>
      </c>
      <c r="J1136" s="512"/>
      <c r="K1136" s="649"/>
      <c r="L1136" s="518"/>
      <c r="M1136" s="649"/>
      <c r="N1136" s="518"/>
      <c r="O1136" s="518"/>
    </row>
    <row r="1137" spans="1:16">
      <c r="C1137" s="508">
        <f>IF(D1076="","-",+C1136+1)</f>
        <v>2072</v>
      </c>
      <c r="D1137" s="471">
        <f t="shared" si="68"/>
        <v>0</v>
      </c>
      <c r="E1137" s="956">
        <f t="shared" si="71"/>
        <v>0</v>
      </c>
      <c r="F1137" s="471">
        <f t="shared" si="66"/>
        <v>0</v>
      </c>
      <c r="G1137" s="950">
        <f t="shared" si="69"/>
        <v>0</v>
      </c>
      <c r="H1137" s="953">
        <f t="shared" si="70"/>
        <v>0</v>
      </c>
      <c r="I1137" s="512">
        <f t="shared" si="67"/>
        <v>0</v>
      </c>
      <c r="J1137" s="512"/>
      <c r="K1137" s="649"/>
      <c r="L1137" s="518"/>
      <c r="M1137" s="649"/>
      <c r="N1137" s="518"/>
      <c r="O1137" s="518"/>
    </row>
    <row r="1138" spans="1:16">
      <c r="C1138" s="508">
        <f>IF(D1076="","-",+C1137+1)</f>
        <v>2073</v>
      </c>
      <c r="D1138" s="471">
        <f t="shared" si="68"/>
        <v>0</v>
      </c>
      <c r="E1138" s="956">
        <f t="shared" si="71"/>
        <v>0</v>
      </c>
      <c r="F1138" s="471">
        <f t="shared" si="66"/>
        <v>0</v>
      </c>
      <c r="G1138" s="950">
        <f t="shared" si="69"/>
        <v>0</v>
      </c>
      <c r="H1138" s="953">
        <f t="shared" si="70"/>
        <v>0</v>
      </c>
      <c r="I1138" s="512">
        <f t="shared" si="67"/>
        <v>0</v>
      </c>
      <c r="J1138" s="512"/>
      <c r="K1138" s="649"/>
      <c r="L1138" s="518"/>
      <c r="M1138" s="649"/>
      <c r="N1138" s="518"/>
      <c r="O1138" s="518"/>
    </row>
    <row r="1139" spans="1:16">
      <c r="C1139" s="508">
        <f>IF(D1076="","-",+C1138+1)</f>
        <v>2074</v>
      </c>
      <c r="D1139" s="471">
        <f t="shared" si="68"/>
        <v>0</v>
      </c>
      <c r="E1139" s="956">
        <f t="shared" si="71"/>
        <v>0</v>
      </c>
      <c r="F1139" s="471">
        <f t="shared" si="66"/>
        <v>0</v>
      </c>
      <c r="G1139" s="950">
        <f t="shared" si="69"/>
        <v>0</v>
      </c>
      <c r="H1139" s="953">
        <f t="shared" si="70"/>
        <v>0</v>
      </c>
      <c r="I1139" s="512">
        <f t="shared" si="67"/>
        <v>0</v>
      </c>
      <c r="J1139" s="512"/>
      <c r="K1139" s="649"/>
      <c r="L1139" s="518"/>
      <c r="M1139" s="649"/>
      <c r="N1139" s="518"/>
      <c r="O1139" s="518"/>
    </row>
    <row r="1140" spans="1:16">
      <c r="C1140" s="508">
        <f>IF(D1076="","-",+C1139+1)</f>
        <v>2075</v>
      </c>
      <c r="D1140" s="471">
        <f t="shared" si="68"/>
        <v>0</v>
      </c>
      <c r="E1140" s="956">
        <f t="shared" si="71"/>
        <v>0</v>
      </c>
      <c r="F1140" s="471">
        <f t="shared" si="66"/>
        <v>0</v>
      </c>
      <c r="G1140" s="950">
        <f t="shared" si="69"/>
        <v>0</v>
      </c>
      <c r="H1140" s="953">
        <f t="shared" si="70"/>
        <v>0</v>
      </c>
      <c r="I1140" s="512">
        <f t="shared" si="67"/>
        <v>0</v>
      </c>
      <c r="J1140" s="512"/>
      <c r="K1140" s="649"/>
      <c r="L1140" s="518"/>
      <c r="M1140" s="649"/>
      <c r="N1140" s="518"/>
      <c r="O1140" s="518"/>
    </row>
    <row r="1141" spans="1:16" ht="13.5" thickBot="1">
      <c r="C1141" s="520">
        <f>IF(D1076="","-",+C1140+1)</f>
        <v>2076</v>
      </c>
      <c r="D1141" s="521">
        <f t="shared" si="68"/>
        <v>0</v>
      </c>
      <c r="E1141" s="980">
        <f t="shared" si="71"/>
        <v>0</v>
      </c>
      <c r="F1141" s="521">
        <f t="shared" si="66"/>
        <v>0</v>
      </c>
      <c r="G1141" s="960">
        <f t="shared" si="69"/>
        <v>0</v>
      </c>
      <c r="H1141" s="960">
        <f t="shared" si="70"/>
        <v>0</v>
      </c>
      <c r="I1141" s="524">
        <f t="shared" si="67"/>
        <v>0</v>
      </c>
      <c r="J1141" s="512"/>
      <c r="K1141" s="650"/>
      <c r="L1141" s="526"/>
      <c r="M1141" s="650"/>
      <c r="N1141" s="526"/>
      <c r="O1141" s="526"/>
    </row>
    <row r="1142" spans="1:16">
      <c r="C1142" s="471" t="s">
        <v>288</v>
      </c>
      <c r="D1142" s="931"/>
      <c r="E1142" s="931">
        <f>SUM(E1082:E1141)</f>
        <v>9292117.0000000019</v>
      </c>
      <c r="F1142" s="931"/>
      <c r="G1142" s="931">
        <f>SUM(G1082:G1141)</f>
        <v>31815739.453618448</v>
      </c>
      <c r="H1142" s="931">
        <f>SUM(H1082:H1141)</f>
        <v>31815739.453618448</v>
      </c>
      <c r="I1142" s="931">
        <f>SUM(I1082:I1141)</f>
        <v>0</v>
      </c>
      <c r="J1142" s="931"/>
      <c r="K1142" s="931"/>
      <c r="L1142" s="931"/>
      <c r="M1142" s="931"/>
      <c r="N1142" s="931"/>
      <c r="O1142" s="4"/>
    </row>
    <row r="1143" spans="1:16">
      <c r="D1143" s="78"/>
      <c r="E1143" s="4"/>
      <c r="F1143" s="4"/>
      <c r="G1143" s="4"/>
      <c r="H1143" s="930"/>
      <c r="I1143" s="930"/>
      <c r="J1143" s="931"/>
      <c r="K1143" s="930"/>
      <c r="L1143" s="930"/>
      <c r="M1143" s="930"/>
      <c r="N1143" s="930"/>
      <c r="O1143" s="4"/>
    </row>
    <row r="1144" spans="1:16">
      <c r="C1144" s="4" t="s">
        <v>600</v>
      </c>
      <c r="D1144" s="78"/>
      <c r="E1144" s="4"/>
      <c r="F1144" s="4"/>
      <c r="G1144" s="4"/>
      <c r="H1144" s="930"/>
      <c r="I1144" s="930"/>
      <c r="J1144" s="931"/>
      <c r="K1144" s="930"/>
      <c r="L1144" s="930"/>
      <c r="M1144" s="930"/>
      <c r="N1144" s="930"/>
      <c r="O1144" s="4"/>
    </row>
    <row r="1145" spans="1:16">
      <c r="D1145" s="78"/>
      <c r="E1145" s="4"/>
      <c r="F1145" s="4"/>
      <c r="G1145" s="4"/>
      <c r="H1145" s="930"/>
      <c r="I1145" s="930"/>
      <c r="J1145" s="931"/>
      <c r="K1145" s="930"/>
      <c r="L1145" s="930"/>
      <c r="M1145" s="930"/>
      <c r="N1145" s="930"/>
      <c r="O1145" s="4"/>
    </row>
    <row r="1146" spans="1:16">
      <c r="C1146" s="4" t="s">
        <v>601</v>
      </c>
      <c r="D1146" s="471"/>
      <c r="E1146" s="471"/>
      <c r="F1146" s="471"/>
      <c r="G1146" s="931"/>
      <c r="H1146" s="931"/>
      <c r="I1146" s="473"/>
      <c r="J1146" s="473"/>
      <c r="K1146" s="473"/>
      <c r="L1146" s="473"/>
      <c r="M1146" s="473"/>
      <c r="N1146" s="473"/>
      <c r="O1146" s="4"/>
    </row>
    <row r="1147" spans="1:16">
      <c r="C1147" s="4" t="s">
        <v>476</v>
      </c>
      <c r="D1147" s="471"/>
      <c r="E1147" s="471"/>
      <c r="F1147" s="471"/>
      <c r="G1147" s="931"/>
      <c r="H1147" s="931"/>
      <c r="I1147" s="473"/>
      <c r="J1147" s="473"/>
      <c r="K1147" s="473"/>
      <c r="L1147" s="473"/>
      <c r="M1147" s="473"/>
      <c r="N1147" s="473"/>
      <c r="O1147" s="4"/>
    </row>
    <row r="1148" spans="1:16">
      <c r="C1148" s="4" t="s">
        <v>289</v>
      </c>
      <c r="D1148" s="471"/>
      <c r="E1148" s="471"/>
      <c r="F1148" s="471"/>
      <c r="G1148" s="931"/>
      <c r="H1148" s="931"/>
      <c r="I1148" s="473"/>
      <c r="J1148" s="473"/>
      <c r="K1148" s="473"/>
      <c r="L1148" s="473"/>
      <c r="M1148" s="473"/>
      <c r="N1148" s="473"/>
      <c r="O1148" s="4"/>
    </row>
    <row r="1149" spans="1:16">
      <c r="C1149" s="472"/>
      <c r="D1149" s="471"/>
      <c r="E1149" s="471"/>
      <c r="F1149" s="471"/>
      <c r="G1149" s="931"/>
      <c r="H1149" s="931"/>
      <c r="I1149" s="473"/>
      <c r="J1149" s="473"/>
      <c r="K1149" s="473"/>
      <c r="L1149" s="473"/>
      <c r="M1149" s="473"/>
      <c r="N1149" s="473"/>
      <c r="O1149" s="4"/>
    </row>
    <row r="1150" spans="1:16">
      <c r="C1150" s="1303" t="s">
        <v>460</v>
      </c>
      <c r="D1150" s="1303"/>
      <c r="E1150" s="1303"/>
      <c r="F1150" s="1303"/>
      <c r="G1150" s="1303"/>
      <c r="H1150" s="1303"/>
      <c r="I1150" s="1303"/>
      <c r="J1150" s="1303"/>
      <c r="K1150" s="1303"/>
      <c r="L1150" s="1303"/>
      <c r="M1150" s="1303"/>
      <c r="N1150" s="1303"/>
      <c r="O1150" s="1303"/>
    </row>
    <row r="1151" spans="1:16">
      <c r="C1151" s="1303"/>
      <c r="D1151" s="1303"/>
      <c r="E1151" s="1303"/>
      <c r="F1151" s="1303"/>
      <c r="G1151" s="1303"/>
      <c r="H1151" s="1303"/>
      <c r="I1151" s="1303"/>
      <c r="J1151" s="1303"/>
      <c r="K1151" s="1303"/>
      <c r="L1151" s="1303"/>
      <c r="M1151" s="1303"/>
      <c r="N1151" s="1303"/>
      <c r="O1151" s="1303"/>
    </row>
    <row r="1152" spans="1:16" ht="20.25">
      <c r="A1152" s="413" t="s">
        <v>927</v>
      </c>
      <c r="B1152" s="4"/>
      <c r="C1152" s="4"/>
      <c r="D1152" s="78"/>
      <c r="E1152" s="4"/>
      <c r="F1152" s="80"/>
      <c r="G1152" s="4"/>
      <c r="H1152" s="930"/>
      <c r="K1152" s="11"/>
      <c r="L1152" s="11"/>
      <c r="M1152" s="11"/>
      <c r="N1152" s="11" t="str">
        <f>"Page "&amp;SUM(P$6:P1152)&amp;" of "</f>
        <v xml:space="preserve">Page 14 of </v>
      </c>
      <c r="O1152" s="414">
        <f>COUNT(P$6:P$59606)</f>
        <v>14</v>
      </c>
      <c r="P1152" s="4">
        <v>1</v>
      </c>
    </row>
    <row r="1153" spans="2:15">
      <c r="B1153" s="4"/>
      <c r="C1153" s="4"/>
      <c r="D1153" s="78"/>
      <c r="E1153" s="4"/>
      <c r="F1153" s="4"/>
      <c r="G1153" s="4"/>
      <c r="H1153" s="930"/>
      <c r="I1153" s="4"/>
      <c r="J1153" s="4"/>
      <c r="K1153" s="4"/>
      <c r="L1153" s="4"/>
      <c r="M1153" s="4"/>
      <c r="N1153" s="4"/>
      <c r="O1153" s="4"/>
    </row>
    <row r="1154" spans="2:15" ht="18">
      <c r="B1154" s="415" t="s">
        <v>174</v>
      </c>
      <c r="C1154" s="474" t="s">
        <v>290</v>
      </c>
      <c r="D1154" s="78"/>
      <c r="E1154" s="4"/>
      <c r="F1154" s="4"/>
      <c r="G1154" s="4"/>
      <c r="H1154" s="930"/>
      <c r="I1154" s="930"/>
      <c r="J1154" s="931"/>
      <c r="K1154" s="930"/>
      <c r="L1154" s="930"/>
      <c r="M1154" s="930"/>
      <c r="N1154" s="930"/>
      <c r="O1154" s="4"/>
    </row>
    <row r="1155" spans="2:15" ht="18.75">
      <c r="B1155" s="415"/>
      <c r="C1155" s="13"/>
      <c r="D1155" s="78"/>
      <c r="E1155" s="4"/>
      <c r="F1155" s="4"/>
      <c r="G1155" s="4"/>
      <c r="H1155" s="930"/>
      <c r="I1155" s="930"/>
      <c r="J1155" s="931"/>
      <c r="K1155" s="930"/>
      <c r="L1155" s="930"/>
      <c r="M1155" s="930"/>
      <c r="N1155" s="930"/>
      <c r="O1155" s="4"/>
    </row>
    <row r="1156" spans="2:15" ht="18.75">
      <c r="B1156" s="415"/>
      <c r="C1156" s="13" t="s">
        <v>291</v>
      </c>
      <c r="D1156" s="78"/>
      <c r="E1156" s="4"/>
      <c r="F1156" s="4"/>
      <c r="G1156" s="4"/>
      <c r="H1156" s="930"/>
      <c r="I1156" s="930"/>
      <c r="J1156" s="931"/>
      <c r="K1156" s="930"/>
      <c r="L1156" s="930"/>
      <c r="M1156" s="930"/>
      <c r="N1156" s="930"/>
      <c r="O1156" s="4"/>
    </row>
    <row r="1157" spans="2:15" ht="15.75" thickBot="1">
      <c r="C1157" s="250"/>
      <c r="D1157" s="78"/>
      <c r="E1157" s="4"/>
      <c r="F1157" s="4"/>
      <c r="G1157" s="4"/>
      <c r="H1157" s="930"/>
      <c r="I1157" s="930"/>
      <c r="J1157" s="931"/>
      <c r="K1157" s="930"/>
      <c r="L1157" s="930"/>
      <c r="M1157" s="930"/>
      <c r="N1157" s="930"/>
      <c r="O1157" s="4"/>
    </row>
    <row r="1158" spans="2:15" ht="15.75">
      <c r="C1158" s="416" t="s">
        <v>292</v>
      </c>
      <c r="D1158" s="78"/>
      <c r="E1158" s="4"/>
      <c r="F1158" s="4"/>
      <c r="G1158" s="932"/>
      <c r="H1158" s="4" t="s">
        <v>271</v>
      </c>
      <c r="I1158" s="4"/>
      <c r="J1158" s="4"/>
      <c r="K1158" s="475" t="s">
        <v>296</v>
      </c>
      <c r="L1158" s="476"/>
      <c r="M1158" s="477"/>
      <c r="N1158" s="933">
        <f>VLOOKUP(I1164,C1171:O1230,5)</f>
        <v>8088889.5121082654</v>
      </c>
      <c r="O1158" s="4"/>
    </row>
    <row r="1159" spans="2:15" ht="15.75">
      <c r="C1159" s="416"/>
      <c r="D1159" s="78"/>
      <c r="E1159" s="4"/>
      <c r="F1159" s="4"/>
      <c r="G1159" s="4"/>
      <c r="H1159" s="934"/>
      <c r="I1159" s="934"/>
      <c r="J1159" s="935"/>
      <c r="K1159" s="480" t="s">
        <v>297</v>
      </c>
      <c r="L1159" s="936"/>
      <c r="M1159" s="4"/>
      <c r="N1159" s="937">
        <f>VLOOKUP(I1164,C1171:O1230,6)</f>
        <v>8088889.5121082654</v>
      </c>
      <c r="O1159" s="4"/>
    </row>
    <row r="1160" spans="2:15" ht="13.5" thickBot="1">
      <c r="C1160" s="481" t="s">
        <v>293</v>
      </c>
      <c r="D1160" s="1304" t="s">
        <v>941</v>
      </c>
      <c r="E1160" s="1304"/>
      <c r="F1160" s="1304"/>
      <c r="G1160" s="1304"/>
      <c r="H1160" s="1304"/>
      <c r="I1160" s="930"/>
      <c r="J1160" s="931"/>
      <c r="K1160" s="938" t="s">
        <v>450</v>
      </c>
      <c r="L1160" s="939"/>
      <c r="M1160" s="939"/>
      <c r="N1160" s="940">
        <f>+N1159-N1158</f>
        <v>0</v>
      </c>
      <c r="O1160" s="4"/>
    </row>
    <row r="1161" spans="2:15">
      <c r="C1161" s="483"/>
      <c r="D1161" s="484"/>
      <c r="E1161" s="471"/>
      <c r="F1161" s="471"/>
      <c r="G1161" s="485"/>
      <c r="H1161" s="930"/>
      <c r="I1161" s="930"/>
      <c r="J1161" s="931"/>
      <c r="K1161" s="930"/>
      <c r="L1161" s="930"/>
      <c r="M1161" s="930"/>
      <c r="N1161" s="930"/>
      <c r="O1161" s="4"/>
    </row>
    <row r="1162" spans="2:15" ht="13.5" thickBot="1">
      <c r="C1162" s="483"/>
      <c r="D1162" s="4"/>
      <c r="E1162" s="485"/>
      <c r="F1162" s="485"/>
      <c r="G1162" s="485"/>
      <c r="H1162" s="485"/>
      <c r="I1162" s="485"/>
      <c r="J1162" s="485"/>
      <c r="K1162" s="485"/>
      <c r="L1162" s="485"/>
      <c r="M1162" s="485"/>
      <c r="N1162" s="485"/>
      <c r="O1162" s="4"/>
    </row>
    <row r="1163" spans="2:15" ht="13.5" thickBot="1">
      <c r="C1163" s="487" t="s">
        <v>294</v>
      </c>
      <c r="D1163" s="488"/>
      <c r="E1163" s="488"/>
      <c r="F1163" s="488"/>
      <c r="G1163" s="488"/>
      <c r="H1163" s="488"/>
      <c r="I1163" s="489"/>
      <c r="K1163" s="4"/>
      <c r="L1163" s="4"/>
      <c r="M1163" s="4"/>
      <c r="N1163" s="4"/>
      <c r="O1163" s="4"/>
    </row>
    <row r="1164" spans="2:15" ht="15">
      <c r="C1164" s="490" t="s">
        <v>272</v>
      </c>
      <c r="D1164" s="941">
        <v>70999286</v>
      </c>
      <c r="E1164" s="4" t="s">
        <v>273</v>
      </c>
      <c r="G1164" s="78"/>
      <c r="H1164" s="78"/>
      <c r="I1164" s="491">
        <v>2018</v>
      </c>
      <c r="J1164" s="134"/>
      <c r="K1164" s="1302" t="s">
        <v>459</v>
      </c>
      <c r="L1164" s="1302"/>
      <c r="M1164" s="1302"/>
      <c r="N1164" s="1302"/>
      <c r="O1164" s="1302"/>
    </row>
    <row r="1165" spans="2:15">
      <c r="C1165" s="490" t="s">
        <v>275</v>
      </c>
      <c r="D1165" s="979">
        <v>2018</v>
      </c>
      <c r="E1165" s="490" t="s">
        <v>276</v>
      </c>
      <c r="F1165" s="78"/>
      <c r="H1165"/>
      <c r="I1165" s="647">
        <f>IF(G1158="",0,$F$15)</f>
        <v>0</v>
      </c>
      <c r="J1165" s="492"/>
      <c r="K1165" s="931" t="s">
        <v>459</v>
      </c>
    </row>
    <row r="1166" spans="2:15">
      <c r="C1166" s="490" t="s">
        <v>277</v>
      </c>
      <c r="D1166" s="941">
        <v>10</v>
      </c>
      <c r="E1166" s="490" t="s">
        <v>278</v>
      </c>
      <c r="F1166" s="78"/>
      <c r="H1166"/>
      <c r="I1166" s="493">
        <f>$G$70</f>
        <v>0.11017952320434825</v>
      </c>
      <c r="J1166" s="80"/>
      <c r="K1166" t="str">
        <f>"          INPUT PROJECTED ARR (WITH &amp; WITHOUT INCENTIVES) FROM EACH PRIOR YEAR"</f>
        <v xml:space="preserve">          INPUT PROJECTED ARR (WITH &amp; WITHOUT INCENTIVES) FROM EACH PRIOR YEAR</v>
      </c>
    </row>
    <row r="1167" spans="2:15">
      <c r="C1167" s="490" t="s">
        <v>279</v>
      </c>
      <c r="D1167" s="494">
        <f>G$79</f>
        <v>42</v>
      </c>
      <c r="E1167" s="490" t="s">
        <v>280</v>
      </c>
      <c r="F1167" s="78"/>
      <c r="H1167"/>
      <c r="I1167" s="493">
        <f>IF(G1158="",I1166,$G$67)</f>
        <v>0.11017952320434825</v>
      </c>
      <c r="J1167" s="80"/>
      <c r="K1167" t="s">
        <v>357</v>
      </c>
    </row>
    <row r="1168" spans="2:15" ht="13.5" thickBot="1">
      <c r="C1168" s="490" t="s">
        <v>281</v>
      </c>
      <c r="D1168" s="646" t="s">
        <v>929</v>
      </c>
      <c r="E1168" s="495" t="s">
        <v>282</v>
      </c>
      <c r="F1168" s="496"/>
      <c r="G1168" s="497"/>
      <c r="H1168" s="497"/>
      <c r="I1168" s="940">
        <f>IF(D1164=0,0,D1164/D1167)</f>
        <v>1690459.1904761905</v>
      </c>
      <c r="J1168" s="931"/>
      <c r="K1168" s="931" t="s">
        <v>363</v>
      </c>
      <c r="L1168" s="931"/>
      <c r="M1168" s="931"/>
      <c r="N1168" s="931"/>
      <c r="O1168" s="4"/>
    </row>
    <row r="1169" spans="1:15" ht="51">
      <c r="A1169" s="12"/>
      <c r="B1169" s="12"/>
      <c r="C1169" s="498" t="s">
        <v>272</v>
      </c>
      <c r="D1169" s="943" t="s">
        <v>283</v>
      </c>
      <c r="E1169" s="944" t="s">
        <v>284</v>
      </c>
      <c r="F1169" s="943" t="s">
        <v>285</v>
      </c>
      <c r="G1169" s="944" t="s">
        <v>356</v>
      </c>
      <c r="H1169" s="945" t="s">
        <v>356</v>
      </c>
      <c r="I1169" s="498" t="s">
        <v>295</v>
      </c>
      <c r="J1169" s="502"/>
      <c r="K1169" s="944" t="s">
        <v>365</v>
      </c>
      <c r="L1169" s="946"/>
      <c r="M1169" s="944" t="s">
        <v>365</v>
      </c>
      <c r="N1169" s="946"/>
      <c r="O1169" s="946"/>
    </row>
    <row r="1170" spans="1:15" ht="13.5" thickBot="1">
      <c r="C1170" s="503" t="s">
        <v>177</v>
      </c>
      <c r="D1170" s="504" t="s">
        <v>178</v>
      </c>
      <c r="E1170" s="503" t="s">
        <v>37</v>
      </c>
      <c r="F1170" s="504" t="s">
        <v>178</v>
      </c>
      <c r="G1170" s="947" t="s">
        <v>298</v>
      </c>
      <c r="H1170" s="948" t="s">
        <v>300</v>
      </c>
      <c r="I1170" s="503" t="s">
        <v>389</v>
      </c>
      <c r="J1170" s="507"/>
      <c r="K1170" s="947" t="s">
        <v>287</v>
      </c>
      <c r="L1170" s="949"/>
      <c r="M1170" s="947" t="s">
        <v>300</v>
      </c>
      <c r="N1170" s="949"/>
      <c r="O1170" s="949"/>
    </row>
    <row r="1171" spans="1:15">
      <c r="C1171" s="954">
        <f>IF(D1165= "","-",D1165)</f>
        <v>2018</v>
      </c>
      <c r="D1171" s="471">
        <f>+D1164</f>
        <v>70999286</v>
      </c>
      <c r="E1171" s="950">
        <f>+I1168/12*(12-D1166)</f>
        <v>281743.1984126984</v>
      </c>
      <c r="F1171" s="471">
        <f t="shared" ref="F1171:F1230" si="72">+D1171-E1171</f>
        <v>70717542.801587299</v>
      </c>
      <c r="G1171" s="951">
        <f>+$I$988*((D1171+F1171)/2)+E1171</f>
        <v>8088889.5121082654</v>
      </c>
      <c r="H1171" s="952">
        <f>+$I$989*((D1171+F1171)/2)+E1171</f>
        <v>8088889.5121082654</v>
      </c>
      <c r="I1171" s="512">
        <f t="shared" ref="I1171:I1230" si="73">+H1171-G1171</f>
        <v>0</v>
      </c>
      <c r="J1171" s="512"/>
      <c r="K1171" s="648"/>
      <c r="L1171" s="514"/>
      <c r="M1171" s="648"/>
      <c r="N1171" s="514"/>
      <c r="O1171" s="514"/>
    </row>
    <row r="1172" spans="1:15">
      <c r="C1172" s="508">
        <f>IF(D1165="","-",+C1171+1)</f>
        <v>2019</v>
      </c>
      <c r="D1172" s="955">
        <f t="shared" ref="D1172:D1230" si="74">F1171</f>
        <v>70717542.801587299</v>
      </c>
      <c r="E1172" s="956">
        <f>IF(D1172&gt;$I$1168,$I$1168,D1172)</f>
        <v>1690459.1904761905</v>
      </c>
      <c r="F1172" s="955">
        <f t="shared" si="72"/>
        <v>69027083.611111104</v>
      </c>
      <c r="G1172" s="957">
        <f t="shared" ref="G1172:G1230" si="75">+$I$988*((D1172+F1172)/2)+E1172</f>
        <v>9388957.3447366301</v>
      </c>
      <c r="H1172" s="958">
        <f t="shared" ref="H1172:H1230" si="76">+$I$989*((D1172+F1172)/2)+E1172</f>
        <v>9388957.3447366301</v>
      </c>
      <c r="I1172" s="964">
        <f t="shared" si="73"/>
        <v>0</v>
      </c>
      <c r="J1172" s="512"/>
      <c r="K1172" s="649"/>
      <c r="L1172" s="518"/>
      <c r="M1172" s="649"/>
      <c r="N1172" s="518"/>
      <c r="O1172" s="518"/>
    </row>
    <row r="1173" spans="1:15">
      <c r="C1173" s="508">
        <f>IF(D1165="","-",+C1172+1)</f>
        <v>2020</v>
      </c>
      <c r="D1173" s="471">
        <f t="shared" si="74"/>
        <v>69027083.611111104</v>
      </c>
      <c r="E1173" s="956">
        <f t="shared" ref="E1173:E1230" si="77">IF(D1173&gt;$I$1168,$I$1168,D1173)</f>
        <v>1690459.1904761905</v>
      </c>
      <c r="F1173" s="471">
        <f t="shared" si="72"/>
        <v>67336624.42063491</v>
      </c>
      <c r="G1173" s="950">
        <f t="shared" si="75"/>
        <v>9202703.3571335562</v>
      </c>
      <c r="H1173" s="953">
        <f t="shared" si="76"/>
        <v>9202703.3571335562</v>
      </c>
      <c r="I1173" s="512">
        <f t="shared" si="73"/>
        <v>0</v>
      </c>
      <c r="J1173" s="512"/>
      <c r="K1173" s="975"/>
      <c r="L1173" s="963"/>
      <c r="M1173" s="975"/>
      <c r="N1173" s="518"/>
      <c r="O1173" s="518"/>
    </row>
    <row r="1174" spans="1:15">
      <c r="C1174" s="508">
        <f>IF(D1165="","-",+C1173+1)</f>
        <v>2021</v>
      </c>
      <c r="D1174" s="471">
        <f t="shared" si="74"/>
        <v>67336624.42063491</v>
      </c>
      <c r="E1174" s="956">
        <f t="shared" si="77"/>
        <v>1690459.1904761905</v>
      </c>
      <c r="F1174" s="471">
        <f t="shared" si="72"/>
        <v>65646165.230158716</v>
      </c>
      <c r="G1174" s="950">
        <f t="shared" si="75"/>
        <v>9016449.3695304804</v>
      </c>
      <c r="H1174" s="953">
        <f t="shared" si="76"/>
        <v>9016449.3695304804</v>
      </c>
      <c r="I1174" s="512">
        <f t="shared" si="73"/>
        <v>0</v>
      </c>
      <c r="J1174" s="512"/>
      <c r="K1174" s="649"/>
      <c r="L1174" s="518"/>
      <c r="M1174" s="649"/>
      <c r="N1174" s="518"/>
      <c r="O1174" s="518"/>
    </row>
    <row r="1175" spans="1:15">
      <c r="C1175" s="508">
        <f>IF(D1165="","-",+C1174+1)</f>
        <v>2022</v>
      </c>
      <c r="D1175" s="471">
        <f t="shared" si="74"/>
        <v>65646165.230158716</v>
      </c>
      <c r="E1175" s="956">
        <f t="shared" si="77"/>
        <v>1690459.1904761905</v>
      </c>
      <c r="F1175" s="471">
        <f t="shared" si="72"/>
        <v>63955706.039682522</v>
      </c>
      <c r="G1175" s="950">
        <f t="shared" si="75"/>
        <v>8830195.3819274046</v>
      </c>
      <c r="H1175" s="953">
        <f t="shared" si="76"/>
        <v>8830195.3819274046</v>
      </c>
      <c r="I1175" s="512">
        <f t="shared" si="73"/>
        <v>0</v>
      </c>
      <c r="J1175" s="512"/>
      <c r="K1175" s="649"/>
      <c r="L1175" s="518"/>
      <c r="M1175" s="649"/>
      <c r="N1175" s="518"/>
      <c r="O1175" s="518"/>
    </row>
    <row r="1176" spans="1:15">
      <c r="C1176" s="508">
        <f>IF(D1165="","-",+C1175+1)</f>
        <v>2023</v>
      </c>
      <c r="D1176" s="471">
        <f t="shared" si="74"/>
        <v>63955706.039682522</v>
      </c>
      <c r="E1176" s="956">
        <f t="shared" si="77"/>
        <v>1690459.1904761905</v>
      </c>
      <c r="F1176" s="471">
        <f t="shared" si="72"/>
        <v>62265246.849206328</v>
      </c>
      <c r="G1176" s="950">
        <f t="shared" si="75"/>
        <v>8643941.3943243288</v>
      </c>
      <c r="H1176" s="953">
        <f t="shared" si="76"/>
        <v>8643941.3943243288</v>
      </c>
      <c r="I1176" s="512">
        <f t="shared" si="73"/>
        <v>0</v>
      </c>
      <c r="J1176" s="512"/>
      <c r="K1176" s="649"/>
      <c r="L1176" s="518"/>
      <c r="M1176" s="649"/>
      <c r="N1176" s="518"/>
      <c r="O1176" s="518"/>
    </row>
    <row r="1177" spans="1:15">
      <c r="C1177" s="508">
        <f>IF(D1165="","-",+C1176+1)</f>
        <v>2024</v>
      </c>
      <c r="D1177" s="471">
        <f t="shared" si="74"/>
        <v>62265246.849206328</v>
      </c>
      <c r="E1177" s="956">
        <f t="shared" si="77"/>
        <v>1690459.1904761905</v>
      </c>
      <c r="F1177" s="471">
        <f t="shared" si="72"/>
        <v>60574787.658730134</v>
      </c>
      <c r="G1177" s="950">
        <f t="shared" si="75"/>
        <v>8457687.4067212529</v>
      </c>
      <c r="H1177" s="953">
        <f t="shared" si="76"/>
        <v>8457687.4067212529</v>
      </c>
      <c r="I1177" s="512">
        <f t="shared" si="73"/>
        <v>0</v>
      </c>
      <c r="J1177" s="512"/>
      <c r="K1177" s="649"/>
      <c r="L1177" s="518"/>
      <c r="M1177" s="649"/>
      <c r="N1177" s="518"/>
      <c r="O1177" s="518"/>
    </row>
    <row r="1178" spans="1:15">
      <c r="C1178" s="978">
        <f>IF(D1165="","-",+C1177+1)</f>
        <v>2025</v>
      </c>
      <c r="D1178" s="955">
        <f t="shared" si="74"/>
        <v>60574787.658730134</v>
      </c>
      <c r="E1178" s="956">
        <f t="shared" si="77"/>
        <v>1690459.1904761905</v>
      </c>
      <c r="F1178" s="955">
        <f t="shared" si="72"/>
        <v>58884328.46825394</v>
      </c>
      <c r="G1178" s="957">
        <f t="shared" si="75"/>
        <v>8271433.4191181771</v>
      </c>
      <c r="H1178" s="958">
        <f t="shared" si="76"/>
        <v>8271433.4191181771</v>
      </c>
      <c r="I1178" s="964">
        <f t="shared" si="73"/>
        <v>0</v>
      </c>
      <c r="J1178" s="512"/>
      <c r="K1178" s="649"/>
      <c r="L1178" s="518"/>
      <c r="M1178" s="649"/>
      <c r="N1178" s="518"/>
      <c r="O1178" s="518"/>
    </row>
    <row r="1179" spans="1:15">
      <c r="C1179" s="508">
        <f>IF(D1165="","-",+C1178+1)</f>
        <v>2026</v>
      </c>
      <c r="D1179" s="471">
        <f t="shared" si="74"/>
        <v>58884328.46825394</v>
      </c>
      <c r="E1179" s="956">
        <f t="shared" si="77"/>
        <v>1690459.1904761905</v>
      </c>
      <c r="F1179" s="471">
        <f t="shared" si="72"/>
        <v>57193869.277777746</v>
      </c>
      <c r="G1179" s="950">
        <f t="shared" si="75"/>
        <v>8085179.4315151013</v>
      </c>
      <c r="H1179" s="953">
        <f t="shared" si="76"/>
        <v>8085179.4315151013</v>
      </c>
      <c r="I1179" s="512">
        <f t="shared" si="73"/>
        <v>0</v>
      </c>
      <c r="J1179" s="512"/>
      <c r="K1179" s="649"/>
      <c r="L1179" s="518"/>
      <c r="M1179" s="649"/>
      <c r="N1179" s="518"/>
      <c r="O1179" s="518"/>
    </row>
    <row r="1180" spans="1:15">
      <c r="C1180" s="508">
        <f>IF(D1165="","-",+C1179+1)</f>
        <v>2027</v>
      </c>
      <c r="D1180" s="471">
        <f t="shared" si="74"/>
        <v>57193869.277777746</v>
      </c>
      <c r="E1180" s="956">
        <f t="shared" si="77"/>
        <v>1690459.1904761905</v>
      </c>
      <c r="F1180" s="471">
        <f t="shared" si="72"/>
        <v>55503410.087301552</v>
      </c>
      <c r="G1180" s="950">
        <f t="shared" si="75"/>
        <v>7898925.4439120265</v>
      </c>
      <c r="H1180" s="953">
        <f t="shared" si="76"/>
        <v>7898925.4439120265</v>
      </c>
      <c r="I1180" s="512">
        <f t="shared" si="73"/>
        <v>0</v>
      </c>
      <c r="J1180" s="512"/>
      <c r="K1180" s="649"/>
      <c r="L1180" s="518"/>
      <c r="M1180" s="649"/>
      <c r="N1180" s="518"/>
      <c r="O1180" s="518"/>
    </row>
    <row r="1181" spans="1:15">
      <c r="C1181" s="508">
        <f>IF(D1165="","-",+C1180+1)</f>
        <v>2028</v>
      </c>
      <c r="D1181" s="471">
        <f t="shared" si="74"/>
        <v>55503410.087301552</v>
      </c>
      <c r="E1181" s="956">
        <f t="shared" si="77"/>
        <v>1690459.1904761905</v>
      </c>
      <c r="F1181" s="471">
        <f t="shared" si="72"/>
        <v>53812950.896825358</v>
      </c>
      <c r="G1181" s="950">
        <f t="shared" si="75"/>
        <v>7712671.4563089507</v>
      </c>
      <c r="H1181" s="953">
        <f t="shared" si="76"/>
        <v>7712671.4563089507</v>
      </c>
      <c r="I1181" s="512">
        <f t="shared" si="73"/>
        <v>0</v>
      </c>
      <c r="J1181" s="512"/>
      <c r="K1181" s="649"/>
      <c r="L1181" s="518"/>
      <c r="M1181" s="649"/>
      <c r="N1181" s="518"/>
      <c r="O1181" s="518"/>
    </row>
    <row r="1182" spans="1:15">
      <c r="C1182" s="508">
        <f>IF(D1165="","-",+C1181+1)</f>
        <v>2029</v>
      </c>
      <c r="D1182" s="471">
        <f t="shared" si="74"/>
        <v>53812950.896825358</v>
      </c>
      <c r="E1182" s="956">
        <f t="shared" si="77"/>
        <v>1690459.1904761905</v>
      </c>
      <c r="F1182" s="471">
        <f t="shared" si="72"/>
        <v>52122491.706349164</v>
      </c>
      <c r="G1182" s="950">
        <f t="shared" si="75"/>
        <v>7526417.4687058749</v>
      </c>
      <c r="H1182" s="953">
        <f t="shared" si="76"/>
        <v>7526417.4687058749</v>
      </c>
      <c r="I1182" s="512">
        <f t="shared" si="73"/>
        <v>0</v>
      </c>
      <c r="J1182" s="512"/>
      <c r="K1182" s="649"/>
      <c r="L1182" s="518"/>
      <c r="M1182" s="649"/>
      <c r="N1182" s="518"/>
      <c r="O1182" s="518"/>
    </row>
    <row r="1183" spans="1:15">
      <c r="C1183" s="508">
        <f>IF(D1165="","-",+C1182+1)</f>
        <v>2030</v>
      </c>
      <c r="D1183" s="471">
        <f t="shared" si="74"/>
        <v>52122491.706349164</v>
      </c>
      <c r="E1183" s="956">
        <f t="shared" si="77"/>
        <v>1690459.1904761905</v>
      </c>
      <c r="F1183" s="471">
        <f t="shared" si="72"/>
        <v>50432032.51587297</v>
      </c>
      <c r="G1183" s="950">
        <f t="shared" si="75"/>
        <v>7340163.4811027991</v>
      </c>
      <c r="H1183" s="953">
        <f t="shared" si="76"/>
        <v>7340163.4811027991</v>
      </c>
      <c r="I1183" s="512">
        <f t="shared" si="73"/>
        <v>0</v>
      </c>
      <c r="J1183" s="512"/>
      <c r="K1183" s="649"/>
      <c r="L1183" s="518"/>
      <c r="M1183" s="649"/>
      <c r="N1183" s="519"/>
      <c r="O1183" s="518"/>
    </row>
    <row r="1184" spans="1:15">
      <c r="C1184" s="508">
        <f>IF(D1165="","-",+C1183+1)</f>
        <v>2031</v>
      </c>
      <c r="D1184" s="471">
        <f t="shared" si="74"/>
        <v>50432032.51587297</v>
      </c>
      <c r="E1184" s="956">
        <f t="shared" si="77"/>
        <v>1690459.1904761905</v>
      </c>
      <c r="F1184" s="471">
        <f t="shared" si="72"/>
        <v>48741573.325396776</v>
      </c>
      <c r="G1184" s="950">
        <f t="shared" si="75"/>
        <v>7153909.4934997242</v>
      </c>
      <c r="H1184" s="953">
        <f t="shared" si="76"/>
        <v>7153909.4934997242</v>
      </c>
      <c r="I1184" s="512">
        <f t="shared" si="73"/>
        <v>0</v>
      </c>
      <c r="J1184" s="512"/>
      <c r="K1184" s="649"/>
      <c r="L1184" s="518"/>
      <c r="M1184" s="649"/>
      <c r="N1184" s="518"/>
      <c r="O1184" s="518"/>
    </row>
    <row r="1185" spans="3:15">
      <c r="C1185" s="508">
        <f>IF(D1165="","-",+C1184+1)</f>
        <v>2032</v>
      </c>
      <c r="D1185" s="471">
        <f t="shared" si="74"/>
        <v>48741573.325396776</v>
      </c>
      <c r="E1185" s="956">
        <f t="shared" si="77"/>
        <v>1690459.1904761905</v>
      </c>
      <c r="F1185" s="471">
        <f t="shared" si="72"/>
        <v>47051114.134920582</v>
      </c>
      <c r="G1185" s="950">
        <f t="shared" si="75"/>
        <v>6967655.5058966484</v>
      </c>
      <c r="H1185" s="953">
        <f t="shared" si="76"/>
        <v>6967655.5058966484</v>
      </c>
      <c r="I1185" s="512">
        <f t="shared" si="73"/>
        <v>0</v>
      </c>
      <c r="J1185" s="512"/>
      <c r="K1185" s="649"/>
      <c r="L1185" s="518"/>
      <c r="M1185" s="649"/>
      <c r="N1185" s="518"/>
      <c r="O1185" s="518"/>
    </row>
    <row r="1186" spans="3:15">
      <c r="C1186" s="508">
        <f>IF(D1165="","-",+C1185+1)</f>
        <v>2033</v>
      </c>
      <c r="D1186" s="471">
        <f t="shared" si="74"/>
        <v>47051114.134920582</v>
      </c>
      <c r="E1186" s="956">
        <f t="shared" si="77"/>
        <v>1690459.1904761905</v>
      </c>
      <c r="F1186" s="471">
        <f t="shared" si="72"/>
        <v>45360654.944444388</v>
      </c>
      <c r="G1186" s="950">
        <f t="shared" si="75"/>
        <v>6781401.5182935726</v>
      </c>
      <c r="H1186" s="953">
        <f t="shared" si="76"/>
        <v>6781401.5182935726</v>
      </c>
      <c r="I1186" s="512">
        <f t="shared" si="73"/>
        <v>0</v>
      </c>
      <c r="J1186" s="512"/>
      <c r="K1186" s="649"/>
      <c r="L1186" s="518"/>
      <c r="M1186" s="649"/>
      <c r="N1186" s="518"/>
      <c r="O1186" s="518"/>
    </row>
    <row r="1187" spans="3:15">
      <c r="C1187" s="508">
        <f>IF(D1165="","-",+C1186+1)</f>
        <v>2034</v>
      </c>
      <c r="D1187" s="471">
        <f t="shared" si="74"/>
        <v>45360654.944444388</v>
      </c>
      <c r="E1187" s="956">
        <f t="shared" si="77"/>
        <v>1690459.1904761905</v>
      </c>
      <c r="F1187" s="471">
        <f t="shared" si="72"/>
        <v>43670195.753968194</v>
      </c>
      <c r="G1187" s="950">
        <f t="shared" si="75"/>
        <v>6595147.5306904968</v>
      </c>
      <c r="H1187" s="953">
        <f t="shared" si="76"/>
        <v>6595147.5306904968</v>
      </c>
      <c r="I1187" s="512">
        <f t="shared" si="73"/>
        <v>0</v>
      </c>
      <c r="J1187" s="512"/>
      <c r="K1187" s="649"/>
      <c r="L1187" s="518"/>
      <c r="M1187" s="649"/>
      <c r="N1187" s="518"/>
      <c r="O1187" s="518"/>
    </row>
    <row r="1188" spans="3:15">
      <c r="C1188" s="508">
        <f>IF(D1165="","-",+C1187+1)</f>
        <v>2035</v>
      </c>
      <c r="D1188" s="471">
        <f t="shared" si="74"/>
        <v>43670195.753968194</v>
      </c>
      <c r="E1188" s="956">
        <f t="shared" si="77"/>
        <v>1690459.1904761905</v>
      </c>
      <c r="F1188" s="471">
        <f t="shared" si="72"/>
        <v>41979736.563492</v>
      </c>
      <c r="G1188" s="950">
        <f t="shared" si="75"/>
        <v>6408893.5430874219</v>
      </c>
      <c r="H1188" s="953">
        <f t="shared" si="76"/>
        <v>6408893.5430874219</v>
      </c>
      <c r="I1188" s="512">
        <f t="shared" si="73"/>
        <v>0</v>
      </c>
      <c r="J1188" s="512"/>
      <c r="K1188" s="649"/>
      <c r="L1188" s="518"/>
      <c r="M1188" s="649"/>
      <c r="N1188" s="518"/>
      <c r="O1188" s="518"/>
    </row>
    <row r="1189" spans="3:15">
      <c r="C1189" s="508">
        <f>IF(D1165="","-",+C1188+1)</f>
        <v>2036</v>
      </c>
      <c r="D1189" s="471">
        <f t="shared" si="74"/>
        <v>41979736.563492</v>
      </c>
      <c r="E1189" s="956">
        <f t="shared" si="77"/>
        <v>1690459.1904761905</v>
      </c>
      <c r="F1189" s="471">
        <f t="shared" si="72"/>
        <v>40289277.373015806</v>
      </c>
      <c r="G1189" s="950">
        <f t="shared" si="75"/>
        <v>6222639.5554843461</v>
      </c>
      <c r="H1189" s="953">
        <f t="shared" si="76"/>
        <v>6222639.5554843461</v>
      </c>
      <c r="I1189" s="512">
        <f t="shared" si="73"/>
        <v>0</v>
      </c>
      <c r="J1189" s="512"/>
      <c r="K1189" s="649"/>
      <c r="L1189" s="518"/>
      <c r="M1189" s="649"/>
      <c r="N1189" s="518"/>
      <c r="O1189" s="518"/>
    </row>
    <row r="1190" spans="3:15">
      <c r="C1190" s="508">
        <f>IF(D1165="","-",+C1189+1)</f>
        <v>2037</v>
      </c>
      <c r="D1190" s="471">
        <f t="shared" si="74"/>
        <v>40289277.373015806</v>
      </c>
      <c r="E1190" s="956">
        <f t="shared" si="77"/>
        <v>1690459.1904761905</v>
      </c>
      <c r="F1190" s="471">
        <f t="shared" si="72"/>
        <v>38598818.182539612</v>
      </c>
      <c r="G1190" s="950">
        <f t="shared" si="75"/>
        <v>6036385.5678812703</v>
      </c>
      <c r="H1190" s="953">
        <f t="shared" si="76"/>
        <v>6036385.5678812703</v>
      </c>
      <c r="I1190" s="512">
        <f t="shared" si="73"/>
        <v>0</v>
      </c>
      <c r="J1190" s="512"/>
      <c r="K1190" s="649"/>
      <c r="L1190" s="518"/>
      <c r="M1190" s="649"/>
      <c r="N1190" s="518"/>
      <c r="O1190" s="518"/>
    </row>
    <row r="1191" spans="3:15">
      <c r="C1191" s="508">
        <f>IF(D1165="","-",+C1190+1)</f>
        <v>2038</v>
      </c>
      <c r="D1191" s="471">
        <f t="shared" si="74"/>
        <v>38598818.182539612</v>
      </c>
      <c r="E1191" s="956">
        <f t="shared" si="77"/>
        <v>1690459.1904761905</v>
      </c>
      <c r="F1191" s="471">
        <f t="shared" si="72"/>
        <v>36908358.992063418</v>
      </c>
      <c r="G1191" s="950">
        <f t="shared" si="75"/>
        <v>5850131.5802781954</v>
      </c>
      <c r="H1191" s="953">
        <f t="shared" si="76"/>
        <v>5850131.5802781954</v>
      </c>
      <c r="I1191" s="512">
        <f t="shared" si="73"/>
        <v>0</v>
      </c>
      <c r="J1191" s="512"/>
      <c r="K1191" s="649"/>
      <c r="L1191" s="518"/>
      <c r="M1191" s="649"/>
      <c r="N1191" s="518"/>
      <c r="O1191" s="518"/>
    </row>
    <row r="1192" spans="3:15">
      <c r="C1192" s="508">
        <f>IF(D1165="","-",+C1191+1)</f>
        <v>2039</v>
      </c>
      <c r="D1192" s="471">
        <f t="shared" si="74"/>
        <v>36908358.992063418</v>
      </c>
      <c r="E1192" s="956">
        <f t="shared" si="77"/>
        <v>1690459.1904761905</v>
      </c>
      <c r="F1192" s="471">
        <f t="shared" si="72"/>
        <v>35217899.801587224</v>
      </c>
      <c r="G1192" s="950">
        <f t="shared" si="75"/>
        <v>5663877.5926751196</v>
      </c>
      <c r="H1192" s="953">
        <f t="shared" si="76"/>
        <v>5663877.5926751196</v>
      </c>
      <c r="I1192" s="512">
        <f t="shared" si="73"/>
        <v>0</v>
      </c>
      <c r="J1192" s="512"/>
      <c r="K1192" s="649"/>
      <c r="L1192" s="518"/>
      <c r="M1192" s="649"/>
      <c r="N1192" s="518"/>
      <c r="O1192" s="518"/>
    </row>
    <row r="1193" spans="3:15">
      <c r="C1193" s="508">
        <f>IF(D1165="","-",+C1192+1)</f>
        <v>2040</v>
      </c>
      <c r="D1193" s="471">
        <f t="shared" si="74"/>
        <v>35217899.801587224</v>
      </c>
      <c r="E1193" s="956">
        <f t="shared" si="77"/>
        <v>1690459.1904761905</v>
      </c>
      <c r="F1193" s="471">
        <f t="shared" si="72"/>
        <v>33527440.611111034</v>
      </c>
      <c r="G1193" s="950">
        <f t="shared" si="75"/>
        <v>5477623.6050720438</v>
      </c>
      <c r="H1193" s="953">
        <f t="shared" si="76"/>
        <v>5477623.6050720438</v>
      </c>
      <c r="I1193" s="512">
        <f t="shared" si="73"/>
        <v>0</v>
      </c>
      <c r="J1193" s="512"/>
      <c r="K1193" s="649"/>
      <c r="L1193" s="518"/>
      <c r="M1193" s="649"/>
      <c r="N1193" s="518"/>
      <c r="O1193" s="518"/>
    </row>
    <row r="1194" spans="3:15">
      <c r="C1194" s="508">
        <f>IF(D1165="","-",+C1193+1)</f>
        <v>2041</v>
      </c>
      <c r="D1194" s="471">
        <f t="shared" si="74"/>
        <v>33527440.611111034</v>
      </c>
      <c r="E1194" s="956">
        <f t="shared" si="77"/>
        <v>1690459.1904761905</v>
      </c>
      <c r="F1194" s="471">
        <f t="shared" si="72"/>
        <v>31836981.420634843</v>
      </c>
      <c r="G1194" s="950">
        <f t="shared" si="75"/>
        <v>5291369.617468969</v>
      </c>
      <c r="H1194" s="953">
        <f t="shared" si="76"/>
        <v>5291369.617468969</v>
      </c>
      <c r="I1194" s="512">
        <f t="shared" si="73"/>
        <v>0</v>
      </c>
      <c r="J1194" s="512"/>
      <c r="K1194" s="649"/>
      <c r="L1194" s="518"/>
      <c r="M1194" s="649"/>
      <c r="N1194" s="518"/>
      <c r="O1194" s="518"/>
    </row>
    <row r="1195" spans="3:15">
      <c r="C1195" s="508">
        <f>IF(D1165="","-",+C1194+1)</f>
        <v>2042</v>
      </c>
      <c r="D1195" s="471">
        <f t="shared" si="74"/>
        <v>31836981.420634843</v>
      </c>
      <c r="E1195" s="956">
        <f t="shared" si="77"/>
        <v>1690459.1904761905</v>
      </c>
      <c r="F1195" s="471">
        <f t="shared" si="72"/>
        <v>30146522.230158653</v>
      </c>
      <c r="G1195" s="950">
        <f t="shared" si="75"/>
        <v>5105115.6298658932</v>
      </c>
      <c r="H1195" s="953">
        <f t="shared" si="76"/>
        <v>5105115.6298658932</v>
      </c>
      <c r="I1195" s="512">
        <f t="shared" si="73"/>
        <v>0</v>
      </c>
      <c r="J1195" s="512"/>
      <c r="K1195" s="649"/>
      <c r="L1195" s="518"/>
      <c r="M1195" s="649"/>
      <c r="N1195" s="518"/>
      <c r="O1195" s="518"/>
    </row>
    <row r="1196" spans="3:15">
      <c r="C1196" s="508">
        <f>IF(D1165="","-",+C1195+1)</f>
        <v>2043</v>
      </c>
      <c r="D1196" s="471">
        <f t="shared" si="74"/>
        <v>30146522.230158653</v>
      </c>
      <c r="E1196" s="956">
        <f t="shared" si="77"/>
        <v>1690459.1904761905</v>
      </c>
      <c r="F1196" s="471">
        <f t="shared" si="72"/>
        <v>28456063.039682463</v>
      </c>
      <c r="G1196" s="950">
        <f t="shared" si="75"/>
        <v>4918861.6422628192</v>
      </c>
      <c r="H1196" s="953">
        <f t="shared" si="76"/>
        <v>4918861.6422628192</v>
      </c>
      <c r="I1196" s="512">
        <f t="shared" si="73"/>
        <v>0</v>
      </c>
      <c r="J1196" s="512"/>
      <c r="K1196" s="649"/>
      <c r="L1196" s="518"/>
      <c r="M1196" s="649"/>
      <c r="N1196" s="518"/>
      <c r="O1196" s="518"/>
    </row>
    <row r="1197" spans="3:15">
      <c r="C1197" s="508">
        <f>IF(D1165="","-",+C1196+1)</f>
        <v>2044</v>
      </c>
      <c r="D1197" s="471">
        <f t="shared" si="74"/>
        <v>28456063.039682463</v>
      </c>
      <c r="E1197" s="956">
        <f t="shared" si="77"/>
        <v>1690459.1904761905</v>
      </c>
      <c r="F1197" s="471">
        <f t="shared" si="72"/>
        <v>26765603.849206273</v>
      </c>
      <c r="G1197" s="950">
        <f t="shared" si="75"/>
        <v>4732607.6546597434</v>
      </c>
      <c r="H1197" s="953">
        <f t="shared" si="76"/>
        <v>4732607.6546597434</v>
      </c>
      <c r="I1197" s="512">
        <f t="shared" si="73"/>
        <v>0</v>
      </c>
      <c r="J1197" s="512"/>
      <c r="K1197" s="649"/>
      <c r="L1197" s="518"/>
      <c r="M1197" s="649"/>
      <c r="N1197" s="518"/>
      <c r="O1197" s="518"/>
    </row>
    <row r="1198" spans="3:15">
      <c r="C1198" s="508">
        <f>IF(D1165="","-",+C1197+1)</f>
        <v>2045</v>
      </c>
      <c r="D1198" s="471">
        <f t="shared" si="74"/>
        <v>26765603.849206273</v>
      </c>
      <c r="E1198" s="956">
        <f t="shared" si="77"/>
        <v>1690459.1904761905</v>
      </c>
      <c r="F1198" s="471">
        <f t="shared" si="72"/>
        <v>25075144.658730082</v>
      </c>
      <c r="G1198" s="950">
        <f t="shared" si="75"/>
        <v>4546353.6670566685</v>
      </c>
      <c r="H1198" s="953">
        <f t="shared" si="76"/>
        <v>4546353.6670566685</v>
      </c>
      <c r="I1198" s="512">
        <f t="shared" si="73"/>
        <v>0</v>
      </c>
      <c r="J1198" s="512"/>
      <c r="K1198" s="649"/>
      <c r="L1198" s="518"/>
      <c r="M1198" s="649"/>
      <c r="N1198" s="518"/>
      <c r="O1198" s="518"/>
    </row>
    <row r="1199" spans="3:15">
      <c r="C1199" s="508">
        <f>IF(D1165="","-",+C1198+1)</f>
        <v>2046</v>
      </c>
      <c r="D1199" s="471">
        <f t="shared" si="74"/>
        <v>25075144.658730082</v>
      </c>
      <c r="E1199" s="956">
        <f t="shared" si="77"/>
        <v>1690459.1904761905</v>
      </c>
      <c r="F1199" s="471">
        <f t="shared" si="72"/>
        <v>23384685.468253892</v>
      </c>
      <c r="G1199" s="959">
        <f t="shared" si="75"/>
        <v>4360099.6794535927</v>
      </c>
      <c r="H1199" s="953">
        <f t="shared" si="76"/>
        <v>4360099.6794535927</v>
      </c>
      <c r="I1199" s="512">
        <f t="shared" si="73"/>
        <v>0</v>
      </c>
      <c r="J1199" s="512"/>
      <c r="K1199" s="649"/>
      <c r="L1199" s="518"/>
      <c r="M1199" s="649"/>
      <c r="N1199" s="518"/>
      <c r="O1199" s="518"/>
    </row>
    <row r="1200" spans="3:15">
      <c r="C1200" s="508">
        <f>IF(D1165="","-",+C1199+1)</f>
        <v>2047</v>
      </c>
      <c r="D1200" s="471">
        <f t="shared" si="74"/>
        <v>23384685.468253892</v>
      </c>
      <c r="E1200" s="956">
        <f t="shared" si="77"/>
        <v>1690459.1904761905</v>
      </c>
      <c r="F1200" s="471">
        <f t="shared" si="72"/>
        <v>21694226.277777702</v>
      </c>
      <c r="G1200" s="950">
        <f t="shared" si="75"/>
        <v>4173845.6918505179</v>
      </c>
      <c r="H1200" s="953">
        <f t="shared" si="76"/>
        <v>4173845.6918505179</v>
      </c>
      <c r="I1200" s="512">
        <f t="shared" si="73"/>
        <v>0</v>
      </c>
      <c r="J1200" s="512"/>
      <c r="K1200" s="649"/>
      <c r="L1200" s="518"/>
      <c r="M1200" s="649"/>
      <c r="N1200" s="518"/>
      <c r="O1200" s="518"/>
    </row>
    <row r="1201" spans="3:15">
      <c r="C1201" s="508">
        <f>IF(D1165="","-",+C1200+1)</f>
        <v>2048</v>
      </c>
      <c r="D1201" s="471">
        <f t="shared" si="74"/>
        <v>21694226.277777702</v>
      </c>
      <c r="E1201" s="956">
        <f t="shared" si="77"/>
        <v>1690459.1904761905</v>
      </c>
      <c r="F1201" s="471">
        <f t="shared" si="72"/>
        <v>20003767.087301511</v>
      </c>
      <c r="G1201" s="950">
        <f t="shared" si="75"/>
        <v>3987591.704247443</v>
      </c>
      <c r="H1201" s="953">
        <f t="shared" si="76"/>
        <v>3987591.704247443</v>
      </c>
      <c r="I1201" s="512">
        <f t="shared" si="73"/>
        <v>0</v>
      </c>
      <c r="J1201" s="512"/>
      <c r="K1201" s="649"/>
      <c r="L1201" s="518"/>
      <c r="M1201" s="649"/>
      <c r="N1201" s="518"/>
      <c r="O1201" s="518"/>
    </row>
    <row r="1202" spans="3:15">
      <c r="C1202" s="508">
        <f>IF(D1165="","-",+C1201+1)</f>
        <v>2049</v>
      </c>
      <c r="D1202" s="471">
        <f t="shared" si="74"/>
        <v>20003767.087301511</v>
      </c>
      <c r="E1202" s="956">
        <f t="shared" si="77"/>
        <v>1690459.1904761905</v>
      </c>
      <c r="F1202" s="471">
        <f t="shared" si="72"/>
        <v>18313307.896825321</v>
      </c>
      <c r="G1202" s="950">
        <f t="shared" si="75"/>
        <v>3801337.7166443681</v>
      </c>
      <c r="H1202" s="953">
        <f t="shared" si="76"/>
        <v>3801337.7166443681</v>
      </c>
      <c r="I1202" s="512">
        <f t="shared" si="73"/>
        <v>0</v>
      </c>
      <c r="J1202" s="512"/>
      <c r="K1202" s="649"/>
      <c r="L1202" s="518"/>
      <c r="M1202" s="649"/>
      <c r="N1202" s="518"/>
      <c r="O1202" s="518"/>
    </row>
    <row r="1203" spans="3:15">
      <c r="C1203" s="508">
        <f>IF(D1165="","-",+C1202+1)</f>
        <v>2050</v>
      </c>
      <c r="D1203" s="471">
        <f t="shared" si="74"/>
        <v>18313307.896825321</v>
      </c>
      <c r="E1203" s="956">
        <f t="shared" si="77"/>
        <v>1690459.1904761905</v>
      </c>
      <c r="F1203" s="471">
        <f t="shared" si="72"/>
        <v>16622848.706349131</v>
      </c>
      <c r="G1203" s="950">
        <f t="shared" si="75"/>
        <v>3615083.7290412923</v>
      </c>
      <c r="H1203" s="953">
        <f t="shared" si="76"/>
        <v>3615083.7290412923</v>
      </c>
      <c r="I1203" s="512">
        <f t="shared" si="73"/>
        <v>0</v>
      </c>
      <c r="J1203" s="512"/>
      <c r="K1203" s="649"/>
      <c r="L1203" s="518"/>
      <c r="M1203" s="649"/>
      <c r="N1203" s="518"/>
      <c r="O1203" s="518"/>
    </row>
    <row r="1204" spans="3:15">
      <c r="C1204" s="508">
        <f>IF(D1165="","-",+C1203+1)</f>
        <v>2051</v>
      </c>
      <c r="D1204" s="471">
        <f t="shared" si="74"/>
        <v>16622848.706349131</v>
      </c>
      <c r="E1204" s="956">
        <f t="shared" si="77"/>
        <v>1690459.1904761905</v>
      </c>
      <c r="F1204" s="471">
        <f t="shared" si="72"/>
        <v>14932389.51587294</v>
      </c>
      <c r="G1204" s="950">
        <f t="shared" si="75"/>
        <v>3428829.7414382175</v>
      </c>
      <c r="H1204" s="953">
        <f t="shared" si="76"/>
        <v>3428829.7414382175</v>
      </c>
      <c r="I1204" s="512">
        <f t="shared" si="73"/>
        <v>0</v>
      </c>
      <c r="J1204" s="512"/>
      <c r="K1204" s="649"/>
      <c r="L1204" s="518"/>
      <c r="M1204" s="649"/>
      <c r="N1204" s="518"/>
      <c r="O1204" s="518"/>
    </row>
    <row r="1205" spans="3:15">
      <c r="C1205" s="508">
        <f>IF(D1165="","-",+C1204+1)</f>
        <v>2052</v>
      </c>
      <c r="D1205" s="471">
        <f t="shared" si="74"/>
        <v>14932389.51587294</v>
      </c>
      <c r="E1205" s="956">
        <f t="shared" si="77"/>
        <v>1690459.1904761905</v>
      </c>
      <c r="F1205" s="471">
        <f t="shared" si="72"/>
        <v>13241930.32539675</v>
      </c>
      <c r="G1205" s="950">
        <f t="shared" si="75"/>
        <v>3242575.7538351421</v>
      </c>
      <c r="H1205" s="953">
        <f t="shared" si="76"/>
        <v>3242575.7538351421</v>
      </c>
      <c r="I1205" s="512">
        <f t="shared" si="73"/>
        <v>0</v>
      </c>
      <c r="J1205" s="512"/>
      <c r="K1205" s="649"/>
      <c r="L1205" s="518"/>
      <c r="M1205" s="649"/>
      <c r="N1205" s="518"/>
      <c r="O1205" s="518"/>
    </row>
    <row r="1206" spans="3:15">
      <c r="C1206" s="508">
        <f>IF(D1165="","-",+C1205+1)</f>
        <v>2053</v>
      </c>
      <c r="D1206" s="471">
        <f t="shared" si="74"/>
        <v>13241930.32539675</v>
      </c>
      <c r="E1206" s="956">
        <f t="shared" si="77"/>
        <v>1690459.1904761905</v>
      </c>
      <c r="F1206" s="471">
        <f t="shared" si="72"/>
        <v>11551471.13492056</v>
      </c>
      <c r="G1206" s="950">
        <f t="shared" si="75"/>
        <v>3056321.7662320668</v>
      </c>
      <c r="H1206" s="953">
        <f t="shared" si="76"/>
        <v>3056321.7662320668</v>
      </c>
      <c r="I1206" s="512">
        <f t="shared" si="73"/>
        <v>0</v>
      </c>
      <c r="J1206" s="512"/>
      <c r="K1206" s="649"/>
      <c r="L1206" s="518"/>
      <c r="M1206" s="649"/>
      <c r="N1206" s="518"/>
      <c r="O1206" s="518"/>
    </row>
    <row r="1207" spans="3:15">
      <c r="C1207" s="508">
        <f>IF(D1165="","-",+C1206+1)</f>
        <v>2054</v>
      </c>
      <c r="D1207" s="471">
        <f t="shared" si="74"/>
        <v>11551471.13492056</v>
      </c>
      <c r="E1207" s="956">
        <f t="shared" si="77"/>
        <v>1690459.1904761905</v>
      </c>
      <c r="F1207" s="471">
        <f t="shared" si="72"/>
        <v>9861011.9444443695</v>
      </c>
      <c r="G1207" s="950">
        <f t="shared" si="75"/>
        <v>2870067.7786289919</v>
      </c>
      <c r="H1207" s="953">
        <f t="shared" si="76"/>
        <v>2870067.7786289919</v>
      </c>
      <c r="I1207" s="512">
        <f t="shared" si="73"/>
        <v>0</v>
      </c>
      <c r="J1207" s="512"/>
      <c r="K1207" s="649"/>
      <c r="L1207" s="518"/>
      <c r="M1207" s="649"/>
      <c r="N1207" s="518"/>
      <c r="O1207" s="518"/>
    </row>
    <row r="1208" spans="3:15">
      <c r="C1208" s="508">
        <f>IF(D1165="","-",+C1207+1)</f>
        <v>2055</v>
      </c>
      <c r="D1208" s="471">
        <f t="shared" si="74"/>
        <v>9861011.9444443695</v>
      </c>
      <c r="E1208" s="956">
        <f t="shared" si="77"/>
        <v>1690459.1904761905</v>
      </c>
      <c r="F1208" s="471">
        <f t="shared" si="72"/>
        <v>8170552.7539681792</v>
      </c>
      <c r="G1208" s="950">
        <f t="shared" si="75"/>
        <v>2683813.7910259166</v>
      </c>
      <c r="H1208" s="953">
        <f t="shared" si="76"/>
        <v>2683813.7910259166</v>
      </c>
      <c r="I1208" s="512">
        <f t="shared" si="73"/>
        <v>0</v>
      </c>
      <c r="J1208" s="512"/>
      <c r="K1208" s="649"/>
      <c r="L1208" s="518"/>
      <c r="M1208" s="649"/>
      <c r="N1208" s="518"/>
      <c r="O1208" s="518"/>
    </row>
    <row r="1209" spans="3:15">
      <c r="C1209" s="508">
        <f>IF(D1165="","-",+C1208+1)</f>
        <v>2056</v>
      </c>
      <c r="D1209" s="471">
        <f t="shared" si="74"/>
        <v>8170552.7539681792</v>
      </c>
      <c r="E1209" s="956">
        <f t="shared" si="77"/>
        <v>1690459.1904761905</v>
      </c>
      <c r="F1209" s="471">
        <f t="shared" si="72"/>
        <v>6480093.5634919889</v>
      </c>
      <c r="G1209" s="950">
        <f t="shared" si="75"/>
        <v>2497559.8034228412</v>
      </c>
      <c r="H1209" s="953">
        <f t="shared" si="76"/>
        <v>2497559.8034228412</v>
      </c>
      <c r="I1209" s="512">
        <f t="shared" si="73"/>
        <v>0</v>
      </c>
      <c r="J1209" s="512"/>
      <c r="K1209" s="649"/>
      <c r="L1209" s="518"/>
      <c r="M1209" s="649"/>
      <c r="N1209" s="518"/>
      <c r="O1209" s="518"/>
    </row>
    <row r="1210" spans="3:15">
      <c r="C1210" s="508">
        <f>IF(D1165="","-",+C1209+1)</f>
        <v>2057</v>
      </c>
      <c r="D1210" s="471">
        <f t="shared" si="74"/>
        <v>6480093.5634919889</v>
      </c>
      <c r="E1210" s="956">
        <f t="shared" si="77"/>
        <v>1690459.1904761905</v>
      </c>
      <c r="F1210" s="471">
        <f t="shared" si="72"/>
        <v>4789634.3730157986</v>
      </c>
      <c r="G1210" s="950">
        <f t="shared" si="75"/>
        <v>2311305.8158197664</v>
      </c>
      <c r="H1210" s="953">
        <f t="shared" si="76"/>
        <v>2311305.8158197664</v>
      </c>
      <c r="I1210" s="512">
        <f t="shared" si="73"/>
        <v>0</v>
      </c>
      <c r="J1210" s="512"/>
      <c r="K1210" s="649"/>
      <c r="L1210" s="518"/>
      <c r="M1210" s="649"/>
      <c r="N1210" s="518"/>
      <c r="O1210" s="518"/>
    </row>
    <row r="1211" spans="3:15">
      <c r="C1211" s="508">
        <f>IF(D1165="","-",+C1210+1)</f>
        <v>2058</v>
      </c>
      <c r="D1211" s="471">
        <f t="shared" si="74"/>
        <v>4789634.3730157986</v>
      </c>
      <c r="E1211" s="956">
        <f t="shared" si="77"/>
        <v>1690459.1904761905</v>
      </c>
      <c r="F1211" s="471">
        <f t="shared" si="72"/>
        <v>3099175.1825396083</v>
      </c>
      <c r="G1211" s="950">
        <f t="shared" si="75"/>
        <v>2125051.828216691</v>
      </c>
      <c r="H1211" s="953">
        <f t="shared" si="76"/>
        <v>2125051.828216691</v>
      </c>
      <c r="I1211" s="512">
        <f t="shared" si="73"/>
        <v>0</v>
      </c>
      <c r="J1211" s="512"/>
      <c r="K1211" s="649"/>
      <c r="L1211" s="518"/>
      <c r="M1211" s="649"/>
      <c r="N1211" s="518"/>
      <c r="O1211" s="518"/>
    </row>
    <row r="1212" spans="3:15">
      <c r="C1212" s="508">
        <f>IF(D1165="","-",+C1211+1)</f>
        <v>2059</v>
      </c>
      <c r="D1212" s="471">
        <f t="shared" si="74"/>
        <v>3099175.1825396083</v>
      </c>
      <c r="E1212" s="956">
        <f t="shared" si="77"/>
        <v>1690459.1904761905</v>
      </c>
      <c r="F1212" s="471">
        <f t="shared" si="72"/>
        <v>1408715.9920634178</v>
      </c>
      <c r="G1212" s="950">
        <f t="shared" si="75"/>
        <v>1938797.8406136159</v>
      </c>
      <c r="H1212" s="953">
        <f t="shared" si="76"/>
        <v>1938797.8406136159</v>
      </c>
      <c r="I1212" s="512">
        <f t="shared" si="73"/>
        <v>0</v>
      </c>
      <c r="J1212" s="512"/>
      <c r="K1212" s="649"/>
      <c r="L1212" s="518"/>
      <c r="M1212" s="649"/>
      <c r="N1212" s="518"/>
      <c r="O1212" s="518"/>
    </row>
    <row r="1213" spans="3:15">
      <c r="C1213" s="508">
        <f>IF(D1165="","-",+C1212+1)</f>
        <v>2060</v>
      </c>
      <c r="D1213" s="471">
        <f t="shared" si="74"/>
        <v>1408715.9920634178</v>
      </c>
      <c r="E1213" s="956">
        <f t="shared" si="77"/>
        <v>1408715.9920634178</v>
      </c>
      <c r="F1213" s="471">
        <f t="shared" si="72"/>
        <v>0</v>
      </c>
      <c r="G1213" s="950">
        <f t="shared" si="75"/>
        <v>1486321.8202313618</v>
      </c>
      <c r="H1213" s="953">
        <f t="shared" si="76"/>
        <v>1486321.8202313618</v>
      </c>
      <c r="I1213" s="512">
        <f t="shared" si="73"/>
        <v>0</v>
      </c>
      <c r="J1213" s="512"/>
      <c r="K1213" s="649"/>
      <c r="L1213" s="518"/>
      <c r="M1213" s="649"/>
      <c r="N1213" s="518"/>
      <c r="O1213" s="518"/>
    </row>
    <row r="1214" spans="3:15">
      <c r="C1214" s="508">
        <f>IF(D1165="","-",+C1213+1)</f>
        <v>2061</v>
      </c>
      <c r="D1214" s="471">
        <f t="shared" si="74"/>
        <v>0</v>
      </c>
      <c r="E1214" s="956">
        <f t="shared" si="77"/>
        <v>0</v>
      </c>
      <c r="F1214" s="471">
        <f t="shared" si="72"/>
        <v>0</v>
      </c>
      <c r="G1214" s="950">
        <f t="shared" si="75"/>
        <v>0</v>
      </c>
      <c r="H1214" s="953">
        <f t="shared" si="76"/>
        <v>0</v>
      </c>
      <c r="I1214" s="512">
        <f t="shared" si="73"/>
        <v>0</v>
      </c>
      <c r="J1214" s="512"/>
      <c r="K1214" s="649"/>
      <c r="L1214" s="518"/>
      <c r="M1214" s="649"/>
      <c r="N1214" s="518"/>
      <c r="O1214" s="518"/>
    </row>
    <row r="1215" spans="3:15">
      <c r="C1215" s="508">
        <f>IF(D1165="","-",+C1214+1)</f>
        <v>2062</v>
      </c>
      <c r="D1215" s="471">
        <f t="shared" si="74"/>
        <v>0</v>
      </c>
      <c r="E1215" s="956">
        <f t="shared" si="77"/>
        <v>0</v>
      </c>
      <c r="F1215" s="471">
        <f t="shared" si="72"/>
        <v>0</v>
      </c>
      <c r="G1215" s="950">
        <f t="shared" si="75"/>
        <v>0</v>
      </c>
      <c r="H1215" s="953">
        <f t="shared" si="76"/>
        <v>0</v>
      </c>
      <c r="I1215" s="512">
        <f t="shared" si="73"/>
        <v>0</v>
      </c>
      <c r="J1215" s="512"/>
      <c r="K1215" s="649"/>
      <c r="L1215" s="518"/>
      <c r="M1215" s="649"/>
      <c r="N1215" s="518"/>
      <c r="O1215" s="518"/>
    </row>
    <row r="1216" spans="3:15">
      <c r="C1216" s="508">
        <f>IF(D1165="","-",+C1215+1)</f>
        <v>2063</v>
      </c>
      <c r="D1216" s="471">
        <f t="shared" si="74"/>
        <v>0</v>
      </c>
      <c r="E1216" s="956">
        <f t="shared" si="77"/>
        <v>0</v>
      </c>
      <c r="F1216" s="471">
        <f t="shared" si="72"/>
        <v>0</v>
      </c>
      <c r="G1216" s="950">
        <f t="shared" si="75"/>
        <v>0</v>
      </c>
      <c r="H1216" s="953">
        <f t="shared" si="76"/>
        <v>0</v>
      </c>
      <c r="I1216" s="512">
        <f t="shared" si="73"/>
        <v>0</v>
      </c>
      <c r="J1216" s="512"/>
      <c r="K1216" s="649"/>
      <c r="L1216" s="518"/>
      <c r="M1216" s="649"/>
      <c r="N1216" s="518"/>
      <c r="O1216" s="518"/>
    </row>
    <row r="1217" spans="3:15">
      <c r="C1217" s="508">
        <f>IF(D1165="","-",+C1216+1)</f>
        <v>2064</v>
      </c>
      <c r="D1217" s="471">
        <f t="shared" si="74"/>
        <v>0</v>
      </c>
      <c r="E1217" s="956">
        <f t="shared" si="77"/>
        <v>0</v>
      </c>
      <c r="F1217" s="471">
        <f t="shared" si="72"/>
        <v>0</v>
      </c>
      <c r="G1217" s="950">
        <f t="shared" si="75"/>
        <v>0</v>
      </c>
      <c r="H1217" s="953">
        <f t="shared" si="76"/>
        <v>0</v>
      </c>
      <c r="I1217" s="512">
        <f t="shared" si="73"/>
        <v>0</v>
      </c>
      <c r="J1217" s="512"/>
      <c r="K1217" s="649"/>
      <c r="L1217" s="518"/>
      <c r="M1217" s="649"/>
      <c r="N1217" s="518"/>
      <c r="O1217" s="518"/>
    </row>
    <row r="1218" spans="3:15">
      <c r="C1218" s="508">
        <f>IF(D1165="","-",+C1217+1)</f>
        <v>2065</v>
      </c>
      <c r="D1218" s="471">
        <f t="shared" si="74"/>
        <v>0</v>
      </c>
      <c r="E1218" s="956">
        <f t="shared" si="77"/>
        <v>0</v>
      </c>
      <c r="F1218" s="471">
        <f t="shared" si="72"/>
        <v>0</v>
      </c>
      <c r="G1218" s="950">
        <f t="shared" si="75"/>
        <v>0</v>
      </c>
      <c r="H1218" s="953">
        <f t="shared" si="76"/>
        <v>0</v>
      </c>
      <c r="I1218" s="512">
        <f t="shared" si="73"/>
        <v>0</v>
      </c>
      <c r="J1218" s="512"/>
      <c r="K1218" s="649"/>
      <c r="L1218" s="518"/>
      <c r="M1218" s="649"/>
      <c r="N1218" s="518"/>
      <c r="O1218" s="518"/>
    </row>
    <row r="1219" spans="3:15">
      <c r="C1219" s="508">
        <f>IF(D1165="","-",+C1218+1)</f>
        <v>2066</v>
      </c>
      <c r="D1219" s="471">
        <f t="shared" si="74"/>
        <v>0</v>
      </c>
      <c r="E1219" s="956">
        <f t="shared" si="77"/>
        <v>0</v>
      </c>
      <c r="F1219" s="471">
        <f t="shared" si="72"/>
        <v>0</v>
      </c>
      <c r="G1219" s="950">
        <f t="shared" si="75"/>
        <v>0</v>
      </c>
      <c r="H1219" s="953">
        <f t="shared" si="76"/>
        <v>0</v>
      </c>
      <c r="I1219" s="512">
        <f t="shared" si="73"/>
        <v>0</v>
      </c>
      <c r="J1219" s="512"/>
      <c r="K1219" s="649"/>
      <c r="L1219" s="518"/>
      <c r="M1219" s="649"/>
      <c r="N1219" s="518"/>
      <c r="O1219" s="518"/>
    </row>
    <row r="1220" spans="3:15">
      <c r="C1220" s="508">
        <f>IF(D1165="","-",+C1219+1)</f>
        <v>2067</v>
      </c>
      <c r="D1220" s="471">
        <f t="shared" si="74"/>
        <v>0</v>
      </c>
      <c r="E1220" s="956">
        <f t="shared" si="77"/>
        <v>0</v>
      </c>
      <c r="F1220" s="471">
        <f t="shared" si="72"/>
        <v>0</v>
      </c>
      <c r="G1220" s="950">
        <f t="shared" si="75"/>
        <v>0</v>
      </c>
      <c r="H1220" s="953">
        <f t="shared" si="76"/>
        <v>0</v>
      </c>
      <c r="I1220" s="512">
        <f t="shared" si="73"/>
        <v>0</v>
      </c>
      <c r="J1220" s="512"/>
      <c r="K1220" s="649"/>
      <c r="L1220" s="518"/>
      <c r="M1220" s="649"/>
      <c r="N1220" s="518"/>
      <c r="O1220" s="518"/>
    </row>
    <row r="1221" spans="3:15">
      <c r="C1221" s="508">
        <f>IF(D1165="","-",+C1220+1)</f>
        <v>2068</v>
      </c>
      <c r="D1221" s="471">
        <f t="shared" si="74"/>
        <v>0</v>
      </c>
      <c r="E1221" s="956">
        <f t="shared" si="77"/>
        <v>0</v>
      </c>
      <c r="F1221" s="471">
        <f t="shared" si="72"/>
        <v>0</v>
      </c>
      <c r="G1221" s="950">
        <f t="shared" si="75"/>
        <v>0</v>
      </c>
      <c r="H1221" s="953">
        <f t="shared" si="76"/>
        <v>0</v>
      </c>
      <c r="I1221" s="512">
        <f t="shared" si="73"/>
        <v>0</v>
      </c>
      <c r="J1221" s="512"/>
      <c r="K1221" s="649"/>
      <c r="L1221" s="518"/>
      <c r="M1221" s="649"/>
      <c r="N1221" s="518"/>
      <c r="O1221" s="518"/>
    </row>
    <row r="1222" spans="3:15">
      <c r="C1222" s="508">
        <f>IF(D1165="","-",+C1221+1)</f>
        <v>2069</v>
      </c>
      <c r="D1222" s="471">
        <f t="shared" si="74"/>
        <v>0</v>
      </c>
      <c r="E1222" s="956">
        <f t="shared" si="77"/>
        <v>0</v>
      </c>
      <c r="F1222" s="471">
        <f t="shared" si="72"/>
        <v>0</v>
      </c>
      <c r="G1222" s="950">
        <f t="shared" si="75"/>
        <v>0</v>
      </c>
      <c r="H1222" s="953">
        <f t="shared" si="76"/>
        <v>0</v>
      </c>
      <c r="I1222" s="512">
        <f t="shared" si="73"/>
        <v>0</v>
      </c>
      <c r="J1222" s="512"/>
      <c r="K1222" s="649"/>
      <c r="L1222" s="518"/>
      <c r="M1222" s="649"/>
      <c r="N1222" s="518"/>
      <c r="O1222" s="518"/>
    </row>
    <row r="1223" spans="3:15">
      <c r="C1223" s="508">
        <f>IF(D1165="","-",+C1222+1)</f>
        <v>2070</v>
      </c>
      <c r="D1223" s="471">
        <f t="shared" si="74"/>
        <v>0</v>
      </c>
      <c r="E1223" s="956">
        <f t="shared" si="77"/>
        <v>0</v>
      </c>
      <c r="F1223" s="471">
        <f t="shared" si="72"/>
        <v>0</v>
      </c>
      <c r="G1223" s="950">
        <f t="shared" si="75"/>
        <v>0</v>
      </c>
      <c r="H1223" s="953">
        <f t="shared" si="76"/>
        <v>0</v>
      </c>
      <c r="I1223" s="512">
        <f t="shared" si="73"/>
        <v>0</v>
      </c>
      <c r="J1223" s="512"/>
      <c r="K1223" s="649"/>
      <c r="L1223" s="518"/>
      <c r="M1223" s="649"/>
      <c r="N1223" s="518"/>
      <c r="O1223" s="518"/>
    </row>
    <row r="1224" spans="3:15">
      <c r="C1224" s="508">
        <f>IF(D1165="","-",+C1223+1)</f>
        <v>2071</v>
      </c>
      <c r="D1224" s="471">
        <f t="shared" si="74"/>
        <v>0</v>
      </c>
      <c r="E1224" s="956">
        <f t="shared" si="77"/>
        <v>0</v>
      </c>
      <c r="F1224" s="471">
        <f t="shared" si="72"/>
        <v>0</v>
      </c>
      <c r="G1224" s="950">
        <f t="shared" si="75"/>
        <v>0</v>
      </c>
      <c r="H1224" s="953">
        <f t="shared" si="76"/>
        <v>0</v>
      </c>
      <c r="I1224" s="512">
        <f t="shared" si="73"/>
        <v>0</v>
      </c>
      <c r="J1224" s="512"/>
      <c r="K1224" s="649"/>
      <c r="L1224" s="518"/>
      <c r="M1224" s="649"/>
      <c r="N1224" s="518"/>
      <c r="O1224" s="518"/>
    </row>
    <row r="1225" spans="3:15">
      <c r="C1225" s="508">
        <f>IF(D1165="","-",+C1224+1)</f>
        <v>2072</v>
      </c>
      <c r="D1225" s="471">
        <f t="shared" si="74"/>
        <v>0</v>
      </c>
      <c r="E1225" s="956">
        <f t="shared" si="77"/>
        <v>0</v>
      </c>
      <c r="F1225" s="471">
        <f t="shared" si="72"/>
        <v>0</v>
      </c>
      <c r="G1225" s="950">
        <f t="shared" si="75"/>
        <v>0</v>
      </c>
      <c r="H1225" s="953">
        <f t="shared" si="76"/>
        <v>0</v>
      </c>
      <c r="I1225" s="512">
        <f t="shared" si="73"/>
        <v>0</v>
      </c>
      <c r="J1225" s="512"/>
      <c r="K1225" s="649"/>
      <c r="L1225" s="518"/>
      <c r="M1225" s="649"/>
      <c r="N1225" s="518"/>
      <c r="O1225" s="518"/>
    </row>
    <row r="1226" spans="3:15">
      <c r="C1226" s="508">
        <f>IF(D1165="","-",+C1225+1)</f>
        <v>2073</v>
      </c>
      <c r="D1226" s="471">
        <f t="shared" si="74"/>
        <v>0</v>
      </c>
      <c r="E1226" s="956">
        <f t="shared" si="77"/>
        <v>0</v>
      </c>
      <c r="F1226" s="471">
        <f t="shared" si="72"/>
        <v>0</v>
      </c>
      <c r="G1226" s="950">
        <f t="shared" si="75"/>
        <v>0</v>
      </c>
      <c r="H1226" s="953">
        <f t="shared" si="76"/>
        <v>0</v>
      </c>
      <c r="I1226" s="512">
        <f t="shared" si="73"/>
        <v>0</v>
      </c>
      <c r="J1226" s="512"/>
      <c r="K1226" s="649"/>
      <c r="L1226" s="518"/>
      <c r="M1226" s="649"/>
      <c r="N1226" s="518"/>
      <c r="O1226" s="518"/>
    </row>
    <row r="1227" spans="3:15">
      <c r="C1227" s="508">
        <f>IF(D1165="","-",+C1226+1)</f>
        <v>2074</v>
      </c>
      <c r="D1227" s="471">
        <f t="shared" si="74"/>
        <v>0</v>
      </c>
      <c r="E1227" s="956">
        <f t="shared" si="77"/>
        <v>0</v>
      </c>
      <c r="F1227" s="471">
        <f t="shared" si="72"/>
        <v>0</v>
      </c>
      <c r="G1227" s="950">
        <f t="shared" si="75"/>
        <v>0</v>
      </c>
      <c r="H1227" s="953">
        <f t="shared" si="76"/>
        <v>0</v>
      </c>
      <c r="I1227" s="512">
        <f t="shared" si="73"/>
        <v>0</v>
      </c>
      <c r="J1227" s="512"/>
      <c r="K1227" s="649"/>
      <c r="L1227" s="518"/>
      <c r="M1227" s="649"/>
      <c r="N1227" s="518"/>
      <c r="O1227" s="518"/>
    </row>
    <row r="1228" spans="3:15">
      <c r="C1228" s="508">
        <f>IF(D1165="","-",+C1227+1)</f>
        <v>2075</v>
      </c>
      <c r="D1228" s="471">
        <f t="shared" si="74"/>
        <v>0</v>
      </c>
      <c r="E1228" s="956">
        <f t="shared" si="77"/>
        <v>0</v>
      </c>
      <c r="F1228" s="471">
        <f t="shared" si="72"/>
        <v>0</v>
      </c>
      <c r="G1228" s="950">
        <f t="shared" si="75"/>
        <v>0</v>
      </c>
      <c r="H1228" s="953">
        <f t="shared" si="76"/>
        <v>0</v>
      </c>
      <c r="I1228" s="512">
        <f t="shared" si="73"/>
        <v>0</v>
      </c>
      <c r="J1228" s="512"/>
      <c r="K1228" s="649"/>
      <c r="L1228" s="518"/>
      <c r="M1228" s="649"/>
      <c r="N1228" s="518"/>
      <c r="O1228" s="518"/>
    </row>
    <row r="1229" spans="3:15">
      <c r="C1229" s="508">
        <f>IF(D1165="","-",+C1228+1)</f>
        <v>2076</v>
      </c>
      <c r="D1229" s="471">
        <f t="shared" si="74"/>
        <v>0</v>
      </c>
      <c r="E1229" s="956">
        <f t="shared" si="77"/>
        <v>0</v>
      </c>
      <c r="F1229" s="471">
        <f t="shared" si="72"/>
        <v>0</v>
      </c>
      <c r="G1229" s="950">
        <f t="shared" si="75"/>
        <v>0</v>
      </c>
      <c r="H1229" s="953">
        <f t="shared" si="76"/>
        <v>0</v>
      </c>
      <c r="I1229" s="512">
        <f t="shared" si="73"/>
        <v>0</v>
      </c>
      <c r="J1229" s="512"/>
      <c r="K1229" s="649"/>
      <c r="L1229" s="518"/>
      <c r="M1229" s="649"/>
      <c r="N1229" s="518"/>
      <c r="O1229" s="518"/>
    </row>
    <row r="1230" spans="3:15" ht="13.5" thickBot="1">
      <c r="C1230" s="520">
        <f>IF(D1165="","-",+C1229+1)</f>
        <v>2077</v>
      </c>
      <c r="D1230" s="521">
        <f t="shared" si="74"/>
        <v>0</v>
      </c>
      <c r="E1230" s="980">
        <f t="shared" si="77"/>
        <v>0</v>
      </c>
      <c r="F1230" s="521">
        <f t="shared" si="72"/>
        <v>0</v>
      </c>
      <c r="G1230" s="960">
        <f t="shared" si="75"/>
        <v>0</v>
      </c>
      <c r="H1230" s="960">
        <f t="shared" si="76"/>
        <v>0</v>
      </c>
      <c r="I1230" s="524">
        <f t="shared" si="73"/>
        <v>0</v>
      </c>
      <c r="J1230" s="512"/>
      <c r="K1230" s="650"/>
      <c r="L1230" s="526"/>
      <c r="M1230" s="650"/>
      <c r="N1230" s="526"/>
      <c r="O1230" s="526"/>
    </row>
    <row r="1231" spans="3:15">
      <c r="C1231" s="471" t="s">
        <v>288</v>
      </c>
      <c r="D1231" s="931"/>
      <c r="E1231" s="931">
        <f>SUM(E1171:E1230)</f>
        <v>70999286</v>
      </c>
      <c r="F1231" s="931"/>
      <c r="G1231" s="931">
        <f>SUM(G1171:G1230)</f>
        <v>241794192.63201958</v>
      </c>
      <c r="H1231" s="931">
        <f>SUM(H1171:H1230)</f>
        <v>241794192.63201958</v>
      </c>
      <c r="I1231" s="931">
        <f>SUM(I1171:I1230)</f>
        <v>0</v>
      </c>
      <c r="J1231" s="931"/>
      <c r="K1231" s="931"/>
      <c r="L1231" s="931"/>
      <c r="M1231" s="931"/>
      <c r="N1231" s="931"/>
      <c r="O1231" s="4"/>
    </row>
    <row r="1232" spans="3:15">
      <c r="D1232" s="78"/>
      <c r="E1232" s="4"/>
      <c r="F1232" s="4"/>
      <c r="G1232" s="4"/>
      <c r="H1232" s="930"/>
      <c r="I1232" s="930"/>
      <c r="J1232" s="931"/>
      <c r="K1232" s="930"/>
      <c r="L1232" s="930"/>
      <c r="M1232" s="930"/>
      <c r="N1232" s="930"/>
      <c r="O1232" s="4"/>
    </row>
    <row r="1233" spans="3:15">
      <c r="C1233" s="4" t="s">
        <v>600</v>
      </c>
      <c r="D1233" s="78"/>
      <c r="E1233" s="4"/>
      <c r="F1233" s="4"/>
      <c r="G1233" s="4"/>
      <c r="H1233" s="930"/>
      <c r="I1233" s="930"/>
      <c r="J1233" s="931"/>
      <c r="K1233" s="930"/>
      <c r="L1233" s="930"/>
      <c r="M1233" s="930"/>
      <c r="N1233" s="930"/>
      <c r="O1233" s="4"/>
    </row>
    <row r="1234" spans="3:15">
      <c r="D1234" s="78"/>
      <c r="E1234" s="4"/>
      <c r="F1234" s="4"/>
      <c r="G1234" s="4"/>
      <c r="H1234" s="930"/>
      <c r="I1234" s="930"/>
      <c r="J1234" s="931"/>
      <c r="K1234" s="930"/>
      <c r="L1234" s="930"/>
      <c r="M1234" s="930"/>
      <c r="N1234" s="930"/>
      <c r="O1234" s="4"/>
    </row>
    <row r="1235" spans="3:15">
      <c r="C1235" s="4" t="s">
        <v>601</v>
      </c>
      <c r="D1235" s="471"/>
      <c r="E1235" s="471"/>
      <c r="F1235" s="471"/>
      <c r="G1235" s="931"/>
      <c r="H1235" s="931"/>
      <c r="I1235" s="473"/>
      <c r="J1235" s="473"/>
      <c r="K1235" s="473"/>
      <c r="L1235" s="473"/>
      <c r="M1235" s="473"/>
      <c r="N1235" s="473"/>
      <c r="O1235" s="4"/>
    </row>
    <row r="1236" spans="3:15">
      <c r="C1236" s="4" t="s">
        <v>476</v>
      </c>
      <c r="D1236" s="471"/>
      <c r="E1236" s="471"/>
      <c r="F1236" s="471"/>
      <c r="G1236" s="931"/>
      <c r="H1236" s="931"/>
      <c r="I1236" s="473"/>
      <c r="J1236" s="473"/>
      <c r="K1236" s="473"/>
      <c r="L1236" s="473"/>
      <c r="M1236" s="473"/>
      <c r="N1236" s="473"/>
      <c r="O1236" s="4"/>
    </row>
    <row r="1237" spans="3:15">
      <c r="C1237" s="4" t="s">
        <v>289</v>
      </c>
      <c r="D1237" s="471"/>
      <c r="E1237" s="471"/>
      <c r="F1237" s="471"/>
      <c r="G1237" s="931"/>
      <c r="H1237" s="931"/>
      <c r="I1237" s="473"/>
      <c r="J1237" s="473"/>
      <c r="K1237" s="473"/>
      <c r="L1237" s="473"/>
      <c r="M1237" s="473"/>
      <c r="N1237" s="473"/>
      <c r="O1237" s="4"/>
    </row>
    <row r="1238" spans="3:15">
      <c r="C1238" s="472"/>
      <c r="D1238" s="471"/>
      <c r="E1238" s="471"/>
      <c r="F1238" s="471"/>
      <c r="G1238" s="931"/>
      <c r="H1238" s="931"/>
      <c r="I1238" s="473"/>
      <c r="J1238" s="473"/>
      <c r="K1238" s="473"/>
      <c r="L1238" s="473"/>
      <c r="M1238" s="473"/>
      <c r="N1238" s="473"/>
      <c r="O1238" s="4"/>
    </row>
    <row r="1239" spans="3:15">
      <c r="C1239" s="1303" t="s">
        <v>460</v>
      </c>
      <c r="D1239" s="1303"/>
      <c r="E1239" s="1303"/>
      <c r="F1239" s="1303"/>
      <c r="G1239" s="1303"/>
      <c r="H1239" s="1303"/>
      <c r="I1239" s="1303"/>
      <c r="J1239" s="1303"/>
      <c r="K1239" s="1303"/>
      <c r="L1239" s="1303"/>
      <c r="M1239" s="1303"/>
      <c r="N1239" s="1303"/>
      <c r="O1239" s="1303"/>
    </row>
    <row r="1240" spans="3:15">
      <c r="C1240" s="1303"/>
      <c r="D1240" s="1303"/>
      <c r="E1240" s="1303"/>
      <c r="F1240" s="1303"/>
      <c r="G1240" s="1303"/>
      <c r="H1240" s="1303"/>
      <c r="I1240" s="1303"/>
      <c r="J1240" s="1303"/>
      <c r="K1240" s="1303"/>
      <c r="L1240" s="1303"/>
      <c r="M1240" s="1303"/>
      <c r="N1240" s="1303"/>
      <c r="O1240" s="1303"/>
    </row>
  </sheetData>
  <mergeCells count="45">
    <mergeCell ref="D1160:H1160"/>
    <mergeCell ref="K1164:O1164"/>
    <mergeCell ref="C1239:O1240"/>
    <mergeCell ref="D982:H982"/>
    <mergeCell ref="K986:O986"/>
    <mergeCell ref="C1061:O1062"/>
    <mergeCell ref="D1071:H1071"/>
    <mergeCell ref="K1075:O1075"/>
    <mergeCell ref="C1150:O1151"/>
    <mergeCell ref="D537:H537"/>
    <mergeCell ref="K541:O541"/>
    <mergeCell ref="C972:O973"/>
    <mergeCell ref="D626:H626"/>
    <mergeCell ref="K630:O630"/>
    <mergeCell ref="C705:O706"/>
    <mergeCell ref="D715:H715"/>
    <mergeCell ref="K719:O719"/>
    <mergeCell ref="C794:O795"/>
    <mergeCell ref="D804:H804"/>
    <mergeCell ref="K808:O808"/>
    <mergeCell ref="C883:O884"/>
    <mergeCell ref="D893:H893"/>
    <mergeCell ref="K897:O897"/>
    <mergeCell ref="C616:O617"/>
    <mergeCell ref="D91:G91"/>
    <mergeCell ref="K95:O95"/>
    <mergeCell ref="C170:O171"/>
    <mergeCell ref="D181:G181"/>
    <mergeCell ref="K185:O185"/>
    <mergeCell ref="C260:O261"/>
    <mergeCell ref="D270:G270"/>
    <mergeCell ref="K274:O274"/>
    <mergeCell ref="C349:O350"/>
    <mergeCell ref="D359:G359"/>
    <mergeCell ref="K363:O363"/>
    <mergeCell ref="C438:O439"/>
    <mergeCell ref="D448:H448"/>
    <mergeCell ref="K452:O452"/>
    <mergeCell ref="C527:O528"/>
    <mergeCell ref="K22:O23"/>
    <mergeCell ref="A3:O3"/>
    <mergeCell ref="C11:H12"/>
    <mergeCell ref="A4:O4"/>
    <mergeCell ref="A5:O5"/>
    <mergeCell ref="A6:O6"/>
  </mergeCells>
  <phoneticPr fontId="0" type="noConversion"/>
  <conditionalFormatting sqref="C102:C161">
    <cfRule type="cellIs" dxfId="40" priority="15" stopIfTrue="1" operator="equal">
      <formula>$I$93</formula>
    </cfRule>
  </conditionalFormatting>
  <conditionalFormatting sqref="C192:C251">
    <cfRule type="cellIs" dxfId="39" priority="14" stopIfTrue="1" operator="equal">
      <formula>$I$93</formula>
    </cfRule>
  </conditionalFormatting>
  <conditionalFormatting sqref="C281:C340">
    <cfRule type="cellIs" dxfId="38" priority="13" stopIfTrue="1" operator="equal">
      <formula>$I$93</formula>
    </cfRule>
  </conditionalFormatting>
  <conditionalFormatting sqref="C370:C429">
    <cfRule type="cellIs" dxfId="37" priority="12" stopIfTrue="1" operator="equal">
      <formula>$I$93</formula>
    </cfRule>
  </conditionalFormatting>
  <conditionalFormatting sqref="C459:C518">
    <cfRule type="cellIs" dxfId="36" priority="11" stopIfTrue="1" operator="equal">
      <formula>$I$93</formula>
    </cfRule>
  </conditionalFormatting>
  <conditionalFormatting sqref="C548:C607">
    <cfRule type="cellIs" dxfId="35" priority="10" stopIfTrue="1" operator="equal">
      <formula>$I$93</formula>
    </cfRule>
  </conditionalFormatting>
  <conditionalFormatting sqref="C637:C696">
    <cfRule type="cellIs" dxfId="34" priority="9" stopIfTrue="1" operator="equal">
      <formula>$I$93</formula>
    </cfRule>
  </conditionalFormatting>
  <conditionalFormatting sqref="C726:C785">
    <cfRule type="cellIs" dxfId="33" priority="8" stopIfTrue="1" operator="equal">
      <formula>$I$93</formula>
    </cfRule>
  </conditionalFormatting>
  <conditionalFormatting sqref="C815:C874">
    <cfRule type="cellIs" dxfId="32" priority="7" stopIfTrue="1" operator="equal">
      <formula>$I$93</formula>
    </cfRule>
  </conditionalFormatting>
  <conditionalFormatting sqref="C904:C963">
    <cfRule type="cellIs" dxfId="31" priority="6" stopIfTrue="1" operator="equal">
      <formula>$I$93</formula>
    </cfRule>
  </conditionalFormatting>
  <conditionalFormatting sqref="C993:C1052">
    <cfRule type="cellIs" dxfId="30" priority="5" stopIfTrue="1" operator="equal">
      <formula>$I$93</formula>
    </cfRule>
  </conditionalFormatting>
  <conditionalFormatting sqref="C1082:C1141">
    <cfRule type="cellIs" dxfId="29" priority="4" stopIfTrue="1" operator="equal">
      <formula>$I$93</formula>
    </cfRule>
  </conditionalFormatting>
  <conditionalFormatting sqref="C1171:C1230">
    <cfRule type="cellIs" dxfId="28" priority="1" stopIfTrue="1" operator="equal">
      <formula>$I$93</formula>
    </cfRule>
  </conditionalFormatting>
  <pageMargins left="0.26" right="1.28" top="1" bottom="0.5" header="0.75" footer="0.5"/>
  <pageSetup scale="38" fitToHeight="2" orientation="landscape" r:id="rId1"/>
  <headerFooter alignWithMargins="0">
    <oddHeader>&amp;R&amp;"Arial,Bold"Formula Rate 
&amp;A
Page &amp;P of &amp;N</oddHeader>
  </headerFooter>
  <rowBreaks count="13" manualBreakCount="13">
    <brk id="82" max="16383" man="1"/>
    <brk id="172" max="16383" man="1"/>
    <brk id="261" max="16383" man="1"/>
    <brk id="350" max="16383" man="1"/>
    <brk id="439" max="16383" man="1"/>
    <brk id="528" max="16383" man="1"/>
    <brk id="617" max="16383" man="1"/>
    <brk id="706" max="16383" man="1"/>
    <brk id="795" max="16383" man="1"/>
    <brk id="884" max="16383" man="1"/>
    <brk id="973" max="16383" man="1"/>
    <brk id="1062" max="16383" man="1"/>
    <brk id="1151"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dimension ref="A1:Q1374"/>
  <sheetViews>
    <sheetView tabSelected="1" view="pageBreakPreview" zoomScale="70" zoomScaleNormal="100" zoomScaleSheetLayoutView="70" workbookViewId="0">
      <selection activeCell="F7" sqref="F7"/>
    </sheetView>
  </sheetViews>
  <sheetFormatPr defaultColWidth="8.85546875" defaultRowHeight="12.75"/>
  <cols>
    <col min="1" max="1" width="4.5703125" customWidth="1"/>
    <col min="2" max="2" width="6.5703125" customWidth="1"/>
    <col min="3" max="3" width="32.42578125" customWidth="1"/>
    <col min="4" max="4" width="17.5703125" style="1" customWidth="1"/>
    <col min="5" max="8" width="17.5703125" customWidth="1"/>
    <col min="9" max="9" width="17.5703125" style="412" customWidth="1"/>
    <col min="10" max="10" width="17.5703125" bestFit="1" customWidth="1"/>
    <col min="11" max="11" width="2.140625" customWidth="1"/>
    <col min="12" max="12" width="17.5703125" style="4" customWidth="1"/>
    <col min="13" max="13" width="31.85546875" style="4" customWidth="1"/>
    <col min="14" max="15" width="17.5703125" style="4" customWidth="1"/>
    <col min="16" max="16" width="16.5703125" style="4" customWidth="1"/>
    <col min="17" max="17" width="2.140625" style="4" customWidth="1"/>
  </cols>
  <sheetData>
    <row r="1" spans="1:17" ht="15.75">
      <c r="A1" s="665" t="s">
        <v>114</v>
      </c>
    </row>
    <row r="2" spans="1:17" ht="15.75">
      <c r="A2" s="665" t="s">
        <v>114</v>
      </c>
    </row>
    <row r="3" spans="1:17" ht="15">
      <c r="A3" s="1257" t="s">
        <v>387</v>
      </c>
      <c r="B3" s="1257"/>
      <c r="C3" s="1257"/>
      <c r="D3" s="1257"/>
      <c r="E3" s="1257"/>
      <c r="F3" s="1257"/>
      <c r="G3" s="1257"/>
      <c r="H3" s="1257"/>
      <c r="I3" s="1257"/>
      <c r="J3" s="1257"/>
      <c r="K3" s="1257"/>
      <c r="L3" s="1257"/>
      <c r="M3" s="1257"/>
      <c r="N3" s="1257"/>
      <c r="O3" s="1257"/>
      <c r="P3" s="1257"/>
    </row>
    <row r="4" spans="1:17" ht="15">
      <c r="A4" s="1258" t="str">
        <f>"Cost of Service Formula Rate Using "&amp;TCOS!L4&amp;" FF1 Balances"</f>
        <v>Cost of Service Formula Rate Using 2025 FF1 Balances</v>
      </c>
      <c r="B4" s="1258"/>
      <c r="C4" s="1258"/>
      <c r="D4" s="1258"/>
      <c r="E4" s="1258"/>
      <c r="F4" s="1258"/>
      <c r="G4" s="1258"/>
      <c r="H4" s="1258"/>
      <c r="I4" s="1258"/>
      <c r="J4" s="1258"/>
      <c r="K4" s="1258"/>
      <c r="L4" s="1258"/>
      <c r="M4" s="1258"/>
      <c r="N4" s="1258"/>
      <c r="O4" s="1258"/>
      <c r="P4" s="1258"/>
    </row>
    <row r="5" spans="1:17" ht="15">
      <c r="A5" s="1258" t="s">
        <v>469</v>
      </c>
      <c r="B5" s="1258"/>
      <c r="C5" s="1258"/>
      <c r="D5" s="1258"/>
      <c r="E5" s="1258"/>
      <c r="F5" s="1258"/>
      <c r="G5" s="1258"/>
      <c r="H5" s="1258"/>
      <c r="I5" s="1258"/>
      <c r="J5" s="1258"/>
      <c r="K5" s="1258"/>
      <c r="L5" s="1258"/>
      <c r="M5" s="1258"/>
      <c r="N5" s="1258"/>
      <c r="O5" s="1258"/>
      <c r="P5" s="1258"/>
    </row>
    <row r="6" spans="1:17" ht="15">
      <c r="A6" s="1263" t="str">
        <f>TCOS!F9</f>
        <v>Appalachian Power Company</v>
      </c>
      <c r="B6" s="1263"/>
      <c r="C6" s="1263"/>
      <c r="D6" s="1263"/>
      <c r="E6" s="1263"/>
      <c r="F6" s="1263"/>
      <c r="G6" s="1263"/>
      <c r="H6" s="1263"/>
      <c r="I6" s="1263"/>
      <c r="J6" s="1263"/>
      <c r="K6" s="1263"/>
      <c r="L6" s="1263"/>
      <c r="M6" s="1263"/>
      <c r="N6" s="1263"/>
      <c r="O6" s="1263"/>
      <c r="P6" s="1263"/>
    </row>
    <row r="8" spans="1:17" ht="20.25">
      <c r="A8" s="413"/>
      <c r="O8" s="11" t="str">
        <f>"Page "&amp;Q8&amp;" of "</f>
        <v xml:space="preserve">Page 1 of </v>
      </c>
      <c r="P8" s="414">
        <f>COUNT(Q$8:Q$58123)</f>
        <v>16</v>
      </c>
      <c r="Q8" s="11">
        <v>1</v>
      </c>
    </row>
    <row r="9" spans="1:17" ht="18">
      <c r="C9" s="13"/>
    </row>
    <row r="11" spans="1:17" ht="18">
      <c r="B11" s="415" t="s">
        <v>171</v>
      </c>
      <c r="C11" s="1300" t="str">
        <f>"Calculate Return and Income Taxes with "&amp;F17&amp;" basis point ROE increase for Projects Qualified for Regional Billing."</f>
        <v>Calculate Return and Income Taxes with 0 basis point ROE increase for Projects Qualified for Regional Billing.</v>
      </c>
      <c r="D11" s="1301"/>
      <c r="E11" s="1301"/>
      <c r="F11" s="1301"/>
      <c r="G11" s="1301"/>
      <c r="H11" s="1301"/>
      <c r="I11" s="1301"/>
    </row>
    <row r="12" spans="1:17" ht="18.75" customHeight="1">
      <c r="C12" s="1301"/>
      <c r="D12" s="1301"/>
      <c r="E12" s="1301"/>
      <c r="F12" s="1301"/>
      <c r="G12" s="1301"/>
      <c r="H12" s="1301"/>
      <c r="I12" s="1301"/>
    </row>
    <row r="13" spans="1:17" ht="15.75" customHeight="1">
      <c r="C13" s="12"/>
      <c r="D13" s="12"/>
      <c r="E13" s="12"/>
      <c r="F13" s="12"/>
      <c r="G13" s="12"/>
      <c r="H13" s="12"/>
      <c r="I13" s="12"/>
    </row>
    <row r="14" spans="1:17" ht="15.75">
      <c r="C14" s="416" t="str">
        <f>"A.   Determine 'R' with hypothetical "&amp;F17&amp;" basis point increase in ROE for Identified Projects"</f>
        <v>A.   Determine 'R' with hypothetical 0 basis point increase in ROE for Identified Projects</v>
      </c>
      <c r="D14" s="286"/>
    </row>
    <row r="15" spans="1:17">
      <c r="C15" s="68"/>
      <c r="D15" s="286"/>
    </row>
    <row r="16" spans="1:17">
      <c r="C16" s="417" t="str">
        <f>"   ROE w/o incentives  (TCOS, ln "&amp;TCOS!B273&amp;")"</f>
        <v xml:space="preserve">   ROE w/o incentives  (TCOS, ln 156)</v>
      </c>
      <c r="D16" s="286"/>
      <c r="E16" s="418"/>
      <c r="F16" s="527">
        <f>TCOS!J273</f>
        <v>0.10349999999999999</v>
      </c>
      <c r="G16" s="527"/>
      <c r="H16" s="418"/>
      <c r="I16" s="420"/>
      <c r="J16" s="420"/>
      <c r="K16" s="420"/>
      <c r="L16" s="420"/>
      <c r="M16" s="420"/>
      <c r="N16" s="420"/>
      <c r="O16" s="420"/>
      <c r="P16" s="420"/>
      <c r="Q16" s="420"/>
    </row>
    <row r="17" spans="3:17" ht="13.5" thickBot="1">
      <c r="C17" s="417" t="s">
        <v>252</v>
      </c>
      <c r="D17" s="286"/>
      <c r="E17" s="418"/>
      <c r="F17" s="640">
        <v>0</v>
      </c>
      <c r="G17" s="418"/>
      <c r="H17" s="418"/>
      <c r="I17" s="420"/>
      <c r="J17" s="420"/>
      <c r="K17" s="420"/>
      <c r="L17" s="420"/>
      <c r="M17" s="420"/>
      <c r="N17" s="420"/>
      <c r="O17" s="420"/>
      <c r="P17" s="420"/>
      <c r="Q17" s="420"/>
    </row>
    <row r="18" spans="3:17">
      <c r="C18" s="417" t="str">
        <f>"   ROE with additional "&amp;F17&amp;" basis point incentive"</f>
        <v xml:space="preserve">   ROE with additional 0 basis point incentive</v>
      </c>
      <c r="D18" s="418"/>
      <c r="E18" s="418"/>
      <c r="F18" s="421">
        <f>IF((F16+(F17/10000)&gt;0.125),"ERROR",F16+(F17/10000))</f>
        <v>0.10349999999999999</v>
      </c>
      <c r="G18" s="422"/>
      <c r="H18" s="418"/>
      <c r="I18" s="420"/>
      <c r="J18" s="420"/>
      <c r="K18" s="420"/>
      <c r="L18" s="528" t="s">
        <v>454</v>
      </c>
      <c r="M18" s="529"/>
      <c r="N18" s="529"/>
      <c r="O18" s="529"/>
      <c r="P18" s="530"/>
      <c r="Q18" s="420"/>
    </row>
    <row r="19" spans="3:17">
      <c r="C19" s="417" t="str">
        <f>"   Determine R  ( cost of long term debt, cost of preferred stock and equity percentage is from the TCOS, lns "&amp;TCOS!B271&amp;" through"&amp;TCOS!B273&amp;")"</f>
        <v xml:space="preserve">   Determine R  ( cost of long term debt, cost of preferred stock and equity percentage is from the TCOS, lns 154 through156)</v>
      </c>
      <c r="D19" s="286"/>
      <c r="E19" s="418"/>
      <c r="F19" s="423"/>
      <c r="G19" s="423"/>
      <c r="H19" s="418"/>
      <c r="I19" s="420"/>
      <c r="J19" s="420"/>
      <c r="K19" s="420"/>
      <c r="L19" s="531"/>
      <c r="M19" s="420"/>
      <c r="N19" s="420" t="s">
        <v>254</v>
      </c>
      <c r="O19" s="420" t="s">
        <v>255</v>
      </c>
      <c r="P19" s="532" t="s">
        <v>256</v>
      </c>
      <c r="Q19" s="420"/>
    </row>
    <row r="20" spans="3:17">
      <c r="C20" s="420"/>
      <c r="D20" s="424" t="s">
        <v>146</v>
      </c>
      <c r="E20" s="424" t="s">
        <v>145</v>
      </c>
      <c r="F20" s="425" t="s">
        <v>253</v>
      </c>
      <c r="G20" s="425"/>
      <c r="H20" s="418"/>
      <c r="I20" s="420"/>
      <c r="J20" s="420"/>
      <c r="K20" s="420"/>
      <c r="L20" s="531" t="s">
        <v>452</v>
      </c>
      <c r="M20" s="533">
        <f>+TCOS!L4</f>
        <v>2025</v>
      </c>
      <c r="P20" s="534"/>
      <c r="Q20" s="420"/>
    </row>
    <row r="21" spans="3:17">
      <c r="C21" s="426" t="s">
        <v>257</v>
      </c>
      <c r="D21" s="535">
        <f>TCOS!H271</f>
        <v>0.49616897232360868</v>
      </c>
      <c r="E21" s="427">
        <f>TCOS!J271</f>
        <v>4.7972803945980823E-2</v>
      </c>
      <c r="F21" s="428">
        <f>E21*D21</f>
        <v>2.3802616833359266E-2</v>
      </c>
      <c r="G21" s="428"/>
      <c r="H21" s="418"/>
      <c r="I21" s="420"/>
      <c r="J21" s="429"/>
      <c r="K21" s="429"/>
      <c r="L21" s="490"/>
      <c r="M21" s="536" t="s">
        <v>453</v>
      </c>
      <c r="N21" s="651">
        <f>M90+M176+M262+M348+M434+M520+M606+M692+M778+M864+M950+M1036+M1122+M1209+M1296</f>
        <v>27589930.064909387</v>
      </c>
      <c r="O21" s="651">
        <f>N90+N176+N262+N348+N434+N520+N606+N692+N778+N864+N950+N1036+N1122+N1209+N1296</f>
        <v>27589930.064909387</v>
      </c>
      <c r="P21" s="537">
        <f>+O21-N21</f>
        <v>0</v>
      </c>
      <c r="Q21" s="429"/>
    </row>
    <row r="22" spans="3:17" ht="13.5" thickBot="1">
      <c r="C22" s="426" t="s">
        <v>258</v>
      </c>
      <c r="D22" s="535">
        <f>TCOS!H272</f>
        <v>0</v>
      </c>
      <c r="E22" s="427">
        <f>TCOS!J272</f>
        <v>0</v>
      </c>
      <c r="F22" s="428">
        <f>E22*D22</f>
        <v>0</v>
      </c>
      <c r="G22" s="428"/>
      <c r="H22" s="430"/>
      <c r="I22" s="430"/>
      <c r="J22" s="431"/>
      <c r="K22" s="431"/>
      <c r="L22" s="490"/>
      <c r="M22" s="536" t="s">
        <v>259</v>
      </c>
      <c r="N22" s="652">
        <f>M91+M177+M263+M349+M435+M521+M607+M693+M779+M865+M951+M1037+M1123+M1210+M1297</f>
        <v>28187351.815821402</v>
      </c>
      <c r="O22" s="652">
        <f>N91+N177+N263+N349+N435+N521+N607+N693+N779+N865+N951+N1037+N1123+N1210+N1297</f>
        <v>28187351.815821402</v>
      </c>
      <c r="P22" s="538">
        <f>+O22-N22</f>
        <v>0</v>
      </c>
      <c r="Q22" s="431"/>
    </row>
    <row r="23" spans="3:17">
      <c r="C23" s="426" t="s">
        <v>244</v>
      </c>
      <c r="D23" s="535">
        <f>TCOS!H273</f>
        <v>0.50383102767639132</v>
      </c>
      <c r="E23" s="427">
        <f>+F18</f>
        <v>0.10349999999999999</v>
      </c>
      <c r="F23" s="432">
        <f>E23*D23</f>
        <v>5.2146511364506501E-2</v>
      </c>
      <c r="G23" s="432"/>
      <c r="H23" s="430"/>
      <c r="I23" s="430"/>
      <c r="J23" s="431"/>
      <c r="K23" s="431"/>
      <c r="L23" s="490"/>
      <c r="M23" s="536" t="str">
        <f>"True-up of ARR For "&amp;TCOS!L4&amp;""</f>
        <v>True-up of ARR For 2025</v>
      </c>
      <c r="N23" s="471">
        <f>+N22-N21</f>
        <v>597421.75091201439</v>
      </c>
      <c r="O23" s="471">
        <f>+O22-O21</f>
        <v>597421.75091201439</v>
      </c>
      <c r="P23" s="539">
        <f>+P22-P21</f>
        <v>0</v>
      </c>
      <c r="Q23" s="431"/>
    </row>
    <row r="24" spans="3:17">
      <c r="C24" s="417"/>
      <c r="D24"/>
      <c r="E24" s="433" t="s">
        <v>260</v>
      </c>
      <c r="F24" s="428">
        <f>SUM(F21:F23)</f>
        <v>7.594912819786577E-2</v>
      </c>
      <c r="G24" s="428"/>
      <c r="H24" s="430"/>
      <c r="I24" s="430"/>
      <c r="J24" s="431"/>
      <c r="K24" s="431"/>
      <c r="L24" s="490"/>
      <c r="P24" s="534"/>
      <c r="Q24" s="431"/>
    </row>
    <row r="25" spans="3:17" ht="13.5" thickBot="1">
      <c r="C25" s="68"/>
      <c r="D25" s="438"/>
      <c r="E25" s="438"/>
      <c r="F25" s="430"/>
      <c r="G25" s="430"/>
      <c r="H25" s="430"/>
      <c r="I25" s="430"/>
      <c r="J25" s="430"/>
      <c r="K25" s="430"/>
      <c r="L25" s="540"/>
      <c r="M25" s="541"/>
      <c r="N25" s="542"/>
      <c r="O25" s="542"/>
      <c r="P25" s="538"/>
      <c r="Q25" s="430"/>
    </row>
    <row r="26" spans="3:17" ht="15.75">
      <c r="C26" s="416" t="str">
        <f>"B.   Determine Return using 'R' with hypothetical "&amp;F17&amp;" basis point ROE increase for Identified Projects."</f>
        <v>B.   Determine Return using 'R' with hypothetical 0 basis point ROE increase for Identified Projects.</v>
      </c>
      <c r="D26" s="438"/>
      <c r="E26" s="438"/>
      <c r="F26" s="430"/>
      <c r="G26" s="430"/>
      <c r="H26" s="430"/>
      <c r="I26" s="418"/>
      <c r="J26" s="430"/>
      <c r="K26" s="430"/>
      <c r="L26" s="430"/>
      <c r="M26" s="430"/>
      <c r="N26" s="430"/>
      <c r="O26" s="430"/>
      <c r="P26" s="430"/>
      <c r="Q26" s="430"/>
    </row>
    <row r="27" spans="3:17">
      <c r="C27" s="420"/>
      <c r="D27" s="438"/>
      <c r="E27" s="438"/>
      <c r="F27" s="430"/>
      <c r="G27" s="430"/>
      <c r="H27" s="430"/>
      <c r="I27" s="430"/>
      <c r="J27" s="430"/>
      <c r="K27" s="430"/>
      <c r="L27" s="430"/>
      <c r="M27" s="430"/>
      <c r="N27" s="430"/>
      <c r="O27" s="430"/>
      <c r="P27" s="430"/>
      <c r="Q27" s="430"/>
    </row>
    <row r="28" spans="3:17">
      <c r="C28" s="417" t="str">
        <f>"   Rate Base  (TCOS, ln "&amp;TCOS!B131&amp;")"</f>
        <v xml:space="preserve">   Rate Base  (TCOS, ln 68)</v>
      </c>
      <c r="D28" s="418"/>
      <c r="E28" s="446">
        <f>TCOS!L131</f>
        <v>3526217159.3137565</v>
      </c>
      <c r="F28" s="453"/>
      <c r="G28" s="453"/>
      <c r="H28" s="430"/>
      <c r="I28" s="430"/>
      <c r="J28" s="430"/>
      <c r="K28" s="430"/>
      <c r="L28" s="430"/>
      <c r="M28" s="430"/>
      <c r="N28" s="430"/>
      <c r="O28" s="430"/>
      <c r="P28" s="453"/>
      <c r="Q28" s="430"/>
    </row>
    <row r="29" spans="3:17">
      <c r="C29" s="420" t="s">
        <v>474</v>
      </c>
      <c r="D29" s="448"/>
      <c r="E29" s="428">
        <f>F24</f>
        <v>7.594912819786577E-2</v>
      </c>
      <c r="F29" s="430"/>
      <c r="G29" s="430"/>
      <c r="H29" s="430"/>
      <c r="I29" s="430"/>
      <c r="J29" s="430"/>
      <c r="K29" s="430"/>
      <c r="L29" s="430"/>
      <c r="M29" s="430"/>
      <c r="N29" s="430"/>
      <c r="O29" s="430"/>
      <c r="P29" s="430"/>
      <c r="Q29" s="430"/>
    </row>
    <row r="30" spans="3:17">
      <c r="C30" s="449" t="s">
        <v>262</v>
      </c>
      <c r="D30" s="449"/>
      <c r="E30" s="431">
        <f>E28*E29</f>
        <v>267813119.08623457</v>
      </c>
      <c r="F30" s="430"/>
      <c r="G30" s="430"/>
      <c r="H30" s="430"/>
      <c r="I30" s="430"/>
      <c r="J30" s="431"/>
      <c r="K30" s="431"/>
      <c r="L30" s="431"/>
      <c r="M30" s="431"/>
      <c r="N30" s="431"/>
      <c r="O30" s="431"/>
      <c r="P30" s="430"/>
      <c r="Q30" s="431"/>
    </row>
    <row r="31" spans="3:17">
      <c r="C31" s="449"/>
      <c r="D31" s="420"/>
      <c r="E31" s="420"/>
      <c r="F31" s="430"/>
      <c r="G31" s="430"/>
      <c r="H31" s="430"/>
      <c r="I31" s="430"/>
      <c r="J31" s="431"/>
      <c r="K31" s="431"/>
      <c r="L31" s="431"/>
      <c r="M31" s="431"/>
      <c r="N31" s="431"/>
      <c r="O31" s="431"/>
      <c r="P31" s="430"/>
      <c r="Q31" s="431"/>
    </row>
    <row r="32" spans="3:17" ht="15.75">
      <c r="C32" s="416" t="str">
        <f>"C.   Determine Income Taxes using Return with hypothetical "&amp;F17&amp;" basis point ROE increase for Identified Projects."</f>
        <v>C.   Determine Income Taxes using Return with hypothetical 0 basis point ROE increase for Identified Projects.</v>
      </c>
      <c r="D32" s="450"/>
      <c r="E32" s="450"/>
      <c r="F32" s="451"/>
      <c r="G32" s="451"/>
      <c r="H32" s="451"/>
      <c r="I32" s="451"/>
      <c r="J32" s="452"/>
      <c r="K32" s="452"/>
      <c r="L32" s="452"/>
      <c r="M32" s="452"/>
      <c r="N32" s="452"/>
      <c r="O32" s="452"/>
      <c r="P32" s="451"/>
      <c r="Q32" s="452"/>
    </row>
    <row r="33" spans="2:17">
      <c r="C33" s="417"/>
      <c r="D33" s="420"/>
      <c r="E33" s="420"/>
      <c r="F33" s="430"/>
      <c r="G33" s="430"/>
      <c r="H33" s="430"/>
      <c r="I33" s="430"/>
      <c r="J33" s="431"/>
      <c r="K33" s="431"/>
      <c r="L33" s="431"/>
      <c r="M33" s="431"/>
      <c r="N33" s="431"/>
      <c r="O33" s="431"/>
      <c r="P33" s="430"/>
      <c r="Q33" s="431"/>
    </row>
    <row r="34" spans="2:17">
      <c r="C34" s="420" t="s">
        <v>263</v>
      </c>
      <c r="D34" s="433"/>
      <c r="E34" s="453">
        <f>E30</f>
        <v>267813119.08623457</v>
      </c>
      <c r="F34" s="430"/>
      <c r="G34" s="430"/>
      <c r="H34" s="430"/>
      <c r="I34" s="430"/>
      <c r="J34" s="430"/>
      <c r="K34" s="430"/>
      <c r="L34" s="430"/>
      <c r="M34" s="430"/>
      <c r="N34" s="430"/>
      <c r="O34" s="430"/>
      <c r="P34" s="430"/>
      <c r="Q34" s="430"/>
    </row>
    <row r="35" spans="2:17">
      <c r="C35" s="417" t="str">
        <f>"   Effective Tax Rate  (TCOS, ln "&amp;TCOS!B198&amp;")"</f>
        <v xml:space="preserve">   Effective Tax Rate  (TCOS, ln 114)</v>
      </c>
      <c r="D35" s="78"/>
      <c r="E35" s="80">
        <f>TCOS!G198</f>
        <v>0.20880508137686571</v>
      </c>
      <c r="F35" s="4"/>
      <c r="G35" s="4"/>
      <c r="H35" s="4"/>
      <c r="I35" s="454"/>
      <c r="J35" s="4"/>
      <c r="K35" s="4"/>
    </row>
    <row r="36" spans="2:17">
      <c r="C36" s="449" t="s">
        <v>264</v>
      </c>
      <c r="D36" s="78"/>
      <c r="E36" s="455">
        <f>E34*E35</f>
        <v>55920740.124593437</v>
      </c>
      <c r="F36" s="4"/>
      <c r="G36" s="4"/>
      <c r="H36" s="4"/>
      <c r="I36" s="454"/>
      <c r="J36" s="4"/>
      <c r="K36" s="4"/>
    </row>
    <row r="37" spans="2:17" ht="15">
      <c r="C37" s="417" t="s">
        <v>302</v>
      </c>
      <c r="D37" s="253"/>
      <c r="E37" s="430">
        <f>TCOS!L207</f>
        <v>-4105.7119906589578</v>
      </c>
      <c r="F37" s="253"/>
      <c r="G37" s="253"/>
      <c r="H37" s="253"/>
      <c r="I37" s="253"/>
      <c r="J37" s="253"/>
      <c r="K37" s="253"/>
      <c r="L37" s="253"/>
      <c r="M37" s="253"/>
      <c r="N37" s="253"/>
      <c r="O37" s="253"/>
      <c r="P37" s="267"/>
      <c r="Q37" s="253"/>
    </row>
    <row r="38" spans="2:17" ht="15">
      <c r="C38" s="417" t="s">
        <v>532</v>
      </c>
      <c r="D38" s="253"/>
      <c r="E38" s="430">
        <f>TCOS!L208</f>
        <v>-6212846.4218616234</v>
      </c>
      <c r="F38" s="253"/>
      <c r="G38" s="253"/>
      <c r="H38" s="253"/>
      <c r="I38" s="253"/>
      <c r="J38" s="253"/>
      <c r="K38" s="253"/>
      <c r="L38" s="253"/>
      <c r="M38" s="253"/>
      <c r="N38" s="253"/>
      <c r="O38" s="253"/>
      <c r="P38" s="267"/>
      <c r="Q38" s="253"/>
    </row>
    <row r="39" spans="2:17" ht="15">
      <c r="C39" s="417" t="s">
        <v>533</v>
      </c>
      <c r="D39" s="253"/>
      <c r="E39" s="456">
        <f>TCOS!L209</f>
        <v>3591589.4370786697</v>
      </c>
      <c r="F39" s="253"/>
      <c r="G39" s="253"/>
      <c r="H39" s="253"/>
      <c r="I39" s="253"/>
      <c r="J39" s="253"/>
      <c r="K39" s="253"/>
      <c r="L39" s="253"/>
      <c r="M39" s="253"/>
      <c r="N39" s="253"/>
      <c r="O39" s="253"/>
      <c r="P39" s="267"/>
      <c r="Q39" s="253"/>
    </row>
    <row r="40" spans="2:17" ht="15">
      <c r="C40" s="449" t="s">
        <v>265</v>
      </c>
      <c r="D40" s="253"/>
      <c r="E40" s="430">
        <f>E36+E37+E38+E39</f>
        <v>53295377.427819818</v>
      </c>
      <c r="F40" s="253"/>
      <c r="G40" s="253"/>
      <c r="H40" s="253"/>
      <c r="I40" s="253"/>
      <c r="J40" s="253"/>
      <c r="K40" s="253"/>
      <c r="L40" s="253"/>
      <c r="M40" s="253"/>
      <c r="N40" s="253"/>
      <c r="O40" s="253"/>
      <c r="P40" s="266"/>
      <c r="Q40" s="253"/>
    </row>
    <row r="41" spans="2:17" ht="12.75" customHeight="1">
      <c r="C41" s="250"/>
      <c r="D41" s="253"/>
      <c r="E41" s="253"/>
      <c r="F41" s="253"/>
      <c r="G41" s="253"/>
      <c r="H41" s="253"/>
      <c r="I41" s="253"/>
      <c r="J41" s="253"/>
      <c r="K41" s="253"/>
      <c r="L41" s="253"/>
      <c r="M41" s="253"/>
      <c r="N41" s="253"/>
      <c r="O41" s="253"/>
      <c r="P41" s="266"/>
      <c r="Q41" s="253"/>
    </row>
    <row r="42" spans="2:17" ht="18.75">
      <c r="B42" s="415" t="s">
        <v>172</v>
      </c>
      <c r="C42" s="13" t="str">
        <f>"Calculate Net Plant Carrying Charge Rate (Fixed Charge Rate or FCR) with hypothetical "&amp;F17&amp;""</f>
        <v>Calculate Net Plant Carrying Charge Rate (Fixed Charge Rate or FCR) with hypothetical 0</v>
      </c>
      <c r="D42" s="253"/>
      <c r="E42" s="253"/>
      <c r="F42" s="253"/>
      <c r="G42" s="253"/>
      <c r="H42" s="253"/>
      <c r="I42" s="253"/>
      <c r="J42" s="253"/>
      <c r="K42" s="253"/>
      <c r="L42" s="253"/>
      <c r="M42" s="253"/>
      <c r="N42" s="253"/>
      <c r="O42" s="253"/>
      <c r="P42" s="266"/>
      <c r="Q42" s="253"/>
    </row>
    <row r="43" spans="2:17" ht="18.75" customHeight="1">
      <c r="C43" s="13" t="str">
        <f>"basis point ROE increase."</f>
        <v>basis point ROE increase.</v>
      </c>
      <c r="D43" s="253"/>
      <c r="E43" s="253"/>
      <c r="F43" s="253"/>
      <c r="G43" s="253"/>
      <c r="H43" s="253"/>
      <c r="I43" s="253"/>
      <c r="J43" s="253"/>
      <c r="K43" s="253"/>
      <c r="L43" s="253"/>
      <c r="M43" s="253"/>
      <c r="N43" s="253"/>
      <c r="O43" s="253"/>
      <c r="P43" s="266"/>
      <c r="Q43" s="253"/>
    </row>
    <row r="44" spans="2:17" ht="12.75" customHeight="1">
      <c r="C44" s="13"/>
      <c r="D44" s="253"/>
      <c r="E44" s="253"/>
      <c r="F44" s="253"/>
      <c r="G44" s="253"/>
      <c r="H44" s="253"/>
      <c r="I44" s="253"/>
      <c r="J44" s="253"/>
      <c r="K44" s="253"/>
      <c r="L44" s="253"/>
      <c r="M44" s="253"/>
      <c r="N44" s="253"/>
      <c r="O44" s="253"/>
      <c r="P44" s="266"/>
      <c r="Q44" s="253"/>
    </row>
    <row r="45" spans="2:17" ht="15.75">
      <c r="C45" s="416" t="s">
        <v>465</v>
      </c>
      <c r="D45" s="253"/>
      <c r="E45" s="253"/>
      <c r="F45" s="250"/>
      <c r="G45" s="250"/>
      <c r="H45" s="253"/>
      <c r="I45" s="253"/>
      <c r="J45" s="253"/>
      <c r="K45" s="253"/>
      <c r="L45" s="253"/>
      <c r="M45" s="253"/>
      <c r="N45" s="253"/>
      <c r="O45" s="253"/>
      <c r="P45" s="266"/>
      <c r="Q45" s="253"/>
    </row>
    <row r="46" spans="2:17">
      <c r="B46" s="4"/>
      <c r="C46" s="417"/>
      <c r="D46" s="418"/>
      <c r="E46" s="418"/>
      <c r="F46" s="418"/>
      <c r="G46" s="418"/>
      <c r="H46" s="418"/>
      <c r="I46" s="418"/>
      <c r="J46" s="418"/>
      <c r="K46" s="418"/>
      <c r="L46" s="418"/>
      <c r="M46" s="418"/>
      <c r="N46" s="418"/>
      <c r="O46" s="418"/>
      <c r="P46" s="430"/>
      <c r="Q46" s="418"/>
    </row>
    <row r="47" spans="2:17" ht="12.75" customHeight="1">
      <c r="B47" s="4"/>
      <c r="C47" s="417" t="str">
        <f>"   Annual Revenue Requirement  (TCOS, ln "&amp;TCOS!B13&amp;")"</f>
        <v xml:space="preserve">   Annual Revenue Requirement  (TCOS, ln 1)</v>
      </c>
      <c r="D47" s="418"/>
      <c r="E47" s="418"/>
      <c r="F47" s="430">
        <f>TCOS!L13</f>
        <v>565575126.85593212</v>
      </c>
      <c r="G47" s="430"/>
      <c r="H47" s="543" t="s">
        <v>114</v>
      </c>
      <c r="I47" s="418"/>
      <c r="J47" s="418"/>
      <c r="K47" s="418"/>
      <c r="L47" s="418"/>
      <c r="M47" s="418"/>
      <c r="N47" s="418"/>
      <c r="O47" s="418"/>
      <c r="P47" s="430"/>
      <c r="Q47" s="418"/>
    </row>
    <row r="48" spans="2:17" ht="12.75" customHeight="1">
      <c r="B48" s="4"/>
      <c r="C48" s="417" t="str">
        <f>"   Lease Payments (TCOS, Ln "&amp;TCOS!B175&amp;")"</f>
        <v xml:space="preserve">   Lease Payments (TCOS, Ln 95)</v>
      </c>
      <c r="D48" s="418"/>
      <c r="E48" s="418"/>
      <c r="F48" s="430">
        <f>TCOS!L175</f>
        <v>0</v>
      </c>
      <c r="G48" s="430"/>
      <c r="H48" s="543"/>
      <c r="I48" s="418"/>
      <c r="J48" s="418"/>
      <c r="K48" s="418"/>
      <c r="L48" s="418"/>
      <c r="M48" s="418"/>
      <c r="N48" s="418"/>
      <c r="O48" s="418"/>
      <c r="P48" s="430"/>
      <c r="Q48" s="418"/>
    </row>
    <row r="49" spans="2:17">
      <c r="B49" s="4"/>
      <c r="C49" s="417" t="str">
        <f>"   Return  (TCOS, ln "&amp;TCOS!B213&amp;")"</f>
        <v xml:space="preserve">   Return  (TCOS, ln 126)</v>
      </c>
      <c r="D49" s="418"/>
      <c r="E49" s="418"/>
      <c r="F49" s="431">
        <f>TCOS!L213</f>
        <v>267813119.08623457</v>
      </c>
      <c r="G49" s="431"/>
      <c r="H49" s="417"/>
      <c r="I49" s="417"/>
      <c r="J49" s="417"/>
      <c r="K49" s="417"/>
      <c r="L49" s="417"/>
      <c r="M49" s="417"/>
      <c r="N49" s="417"/>
      <c r="O49" s="417"/>
      <c r="P49" s="430"/>
      <c r="Q49" s="417"/>
    </row>
    <row r="50" spans="2:17">
      <c r="B50" s="4"/>
      <c r="C50" s="417" t="str">
        <f>"   Income Taxes  (TCOS, ln "&amp;TCOS!B211&amp;")"</f>
        <v xml:space="preserve">   Income Taxes  (TCOS, ln 125)</v>
      </c>
      <c r="D50" s="418"/>
      <c r="E50" s="418"/>
      <c r="F50" s="457">
        <f>TCOS!L211</f>
        <v>53295377.427819818</v>
      </c>
      <c r="G50" s="457"/>
      <c r="H50" s="418"/>
      <c r="I50" s="418"/>
      <c r="J50" s="458"/>
      <c r="K50" s="458"/>
      <c r="L50" s="458"/>
      <c r="M50" s="458"/>
      <c r="N50" s="458"/>
      <c r="O50" s="458"/>
      <c r="P50" s="418"/>
      <c r="Q50" s="458"/>
    </row>
    <row r="51" spans="2:17">
      <c r="B51" s="4"/>
      <c r="C51" s="1283" t="s">
        <v>589</v>
      </c>
      <c r="D51" s="1301"/>
      <c r="E51" s="418"/>
      <c r="F51" s="431">
        <f>F47-F49-F50-F48</f>
        <v>244466630.34187773</v>
      </c>
      <c r="G51" s="431"/>
      <c r="H51" s="459"/>
      <c r="I51" s="418"/>
      <c r="J51" s="459"/>
      <c r="K51" s="459"/>
      <c r="L51" s="459"/>
      <c r="M51" s="459"/>
      <c r="N51" s="459"/>
      <c r="O51" s="459"/>
      <c r="P51" s="459"/>
      <c r="Q51" s="459"/>
    </row>
    <row r="52" spans="2:17">
      <c r="B52" s="4"/>
      <c r="C52" s="1301"/>
      <c r="D52" s="1301"/>
      <c r="E52" s="418"/>
      <c r="F52" s="430"/>
      <c r="G52" s="430"/>
      <c r="H52" s="460"/>
      <c r="I52" s="461"/>
      <c r="J52" s="461"/>
      <c r="K52" s="461"/>
      <c r="L52" s="461"/>
      <c r="M52" s="461"/>
      <c r="N52" s="461"/>
      <c r="O52" s="461"/>
      <c r="P52" s="461"/>
      <c r="Q52" s="461"/>
    </row>
    <row r="53" spans="2:17" ht="15.75">
      <c r="B53" s="4"/>
      <c r="C53" s="416" t="str">
        <f>"B.   Determine Annual Revenue Requirement with hypothetical "&amp;F17&amp;" basis point increase in ROE."</f>
        <v>B.   Determine Annual Revenue Requirement with hypothetical 0 basis point increase in ROE.</v>
      </c>
      <c r="D53" s="420"/>
      <c r="E53" s="420"/>
      <c r="F53" s="430"/>
      <c r="G53" s="430"/>
      <c r="H53" s="460"/>
      <c r="I53" s="461"/>
      <c r="J53" s="461"/>
      <c r="K53" s="461"/>
      <c r="L53" s="461"/>
      <c r="M53" s="461"/>
      <c r="N53" s="461"/>
      <c r="O53" s="461"/>
      <c r="P53" s="461"/>
      <c r="Q53" s="461"/>
    </row>
    <row r="54" spans="2:17">
      <c r="B54" s="4"/>
      <c r="C54" s="417"/>
      <c r="D54" s="420"/>
      <c r="E54" s="420"/>
      <c r="F54" s="430"/>
      <c r="G54" s="430"/>
      <c r="H54" s="460"/>
      <c r="I54" s="461"/>
      <c r="J54" s="461"/>
      <c r="K54" s="461"/>
      <c r="L54" s="461"/>
      <c r="M54" s="461"/>
      <c r="N54" s="461"/>
      <c r="O54" s="461"/>
      <c r="P54" s="461"/>
      <c r="Q54" s="461"/>
    </row>
    <row r="55" spans="2:17">
      <c r="B55" s="4"/>
      <c r="C55" s="417" t="str">
        <f>C51</f>
        <v xml:space="preserve">   Annual Revenue Requirement, Less Lease Payments, Return and Taxes</v>
      </c>
      <c r="D55" s="420"/>
      <c r="E55" s="420"/>
      <c r="F55" s="430">
        <f>F51</f>
        <v>244466630.34187773</v>
      </c>
      <c r="G55" s="430"/>
      <c r="H55" s="418"/>
      <c r="I55" s="418"/>
      <c r="J55" s="418"/>
      <c r="K55" s="418"/>
      <c r="L55" s="418"/>
      <c r="M55" s="418"/>
      <c r="N55" s="418"/>
      <c r="O55" s="418"/>
      <c r="P55" s="462"/>
      <c r="Q55" s="418"/>
    </row>
    <row r="56" spans="2:17">
      <c r="B56" s="4"/>
      <c r="C56" s="420" t="s">
        <v>299</v>
      </c>
      <c r="D56" s="78"/>
      <c r="E56" s="4"/>
      <c r="F56" s="455">
        <f>E30</f>
        <v>267813119.08623457</v>
      </c>
      <c r="G56" s="455"/>
      <c r="H56" s="4"/>
      <c r="I56" s="463"/>
      <c r="J56" s="4"/>
      <c r="K56" s="4"/>
    </row>
    <row r="57" spans="2:17" ht="12.75" customHeight="1">
      <c r="B57" s="4"/>
      <c r="C57" s="417" t="s">
        <v>266</v>
      </c>
      <c r="D57" s="418"/>
      <c r="E57" s="418"/>
      <c r="F57" s="457">
        <f>E40</f>
        <v>53295377.427819818</v>
      </c>
      <c r="G57" s="457"/>
      <c r="H57" s="4"/>
      <c r="I57" s="454"/>
      <c r="J57" s="4"/>
      <c r="K57" s="4"/>
    </row>
    <row r="58" spans="2:17">
      <c r="B58" s="4"/>
      <c r="C58" s="4" t="str">
        <f>"   Annual Revenue Requirement, with "&amp;F17&amp;" Basis Point ROE increase"</f>
        <v xml:space="preserve">   Annual Revenue Requirement, with 0 Basis Point ROE increase</v>
      </c>
      <c r="D58" s="78"/>
      <c r="E58" s="4"/>
      <c r="F58" s="455">
        <f>SUM(F55:F57)</f>
        <v>565575126.85593212</v>
      </c>
      <c r="G58" s="455"/>
      <c r="H58" s="4"/>
      <c r="I58" s="454"/>
      <c r="J58" s="4"/>
      <c r="K58" s="4"/>
    </row>
    <row r="59" spans="2:17">
      <c r="B59" s="4"/>
      <c r="C59" s="417" t="str">
        <f>"   Depreciation  (TCOS, ln "&amp;TCOS!B181&amp;")"</f>
        <v xml:space="preserve">   Depreciation  (TCOS, ln 100)</v>
      </c>
      <c r="D59" s="78"/>
      <c r="E59" s="4"/>
      <c r="F59" s="464">
        <f>TCOS!L181</f>
        <v>119292909.39917004</v>
      </c>
      <c r="G59" s="464"/>
      <c r="H59" s="455"/>
      <c r="I59" s="454"/>
      <c r="J59" s="4"/>
      <c r="K59" s="4"/>
    </row>
    <row r="60" spans="2:17">
      <c r="B60" s="4"/>
      <c r="C60" s="1283" t="str">
        <f>"   Annual Rev. Req, w/ "&amp;F17&amp;" Basis Point ROE increase, less Depreciation"</f>
        <v xml:space="preserve">   Annual Rev. Req, w/ 0 Basis Point ROE increase, less Depreciation</v>
      </c>
      <c r="D60" s="1301"/>
      <c r="E60" s="4"/>
      <c r="F60" s="455">
        <f>F58-F59</f>
        <v>446282217.45676208</v>
      </c>
      <c r="G60" s="455"/>
      <c r="H60" s="4"/>
      <c r="I60" s="454"/>
      <c r="J60" s="4"/>
      <c r="K60" s="4"/>
    </row>
    <row r="61" spans="2:17">
      <c r="B61" s="4"/>
      <c r="C61" s="1301"/>
      <c r="D61" s="1301"/>
      <c r="E61" s="4"/>
      <c r="F61" s="4"/>
      <c r="G61" s="4"/>
      <c r="H61" s="4"/>
      <c r="I61" s="454"/>
      <c r="J61" s="4"/>
      <c r="K61" s="4"/>
    </row>
    <row r="62" spans="2:17" ht="15.75">
      <c r="B62" s="4"/>
      <c r="C62" s="416" t="str">
        <f>"C.   Determine FCR with hypothetical "&amp;F17&amp;" basis point ROE increase."</f>
        <v>C.   Determine FCR with hypothetical 0 basis point ROE increase.</v>
      </c>
      <c r="D62" s="78"/>
      <c r="E62" s="4"/>
      <c r="F62" s="4"/>
      <c r="G62" s="4"/>
      <c r="H62" s="4"/>
      <c r="I62" s="454"/>
      <c r="J62" s="4"/>
      <c r="K62" s="4"/>
    </row>
    <row r="63" spans="2:17">
      <c r="B63" s="4"/>
      <c r="C63" s="4"/>
      <c r="D63" s="78"/>
      <c r="E63" s="4"/>
      <c r="F63" s="4"/>
      <c r="G63" s="4"/>
      <c r="H63" s="4"/>
      <c r="I63" s="454"/>
      <c r="J63" s="4"/>
      <c r="K63" s="4"/>
    </row>
    <row r="64" spans="2:17">
      <c r="B64" s="4"/>
      <c r="C64" s="417" t="str">
        <f>"   Net Transmission Plant  (TCOS, ln "&amp;TCOS!B95&amp;")"</f>
        <v xml:space="preserve">   Net Transmission Plant  (TCOS, ln 42)</v>
      </c>
      <c r="D64" s="78"/>
      <c r="E64" s="4"/>
      <c r="F64" s="455">
        <f>TCOS!L95</f>
        <v>4050500532.9261537</v>
      </c>
      <c r="G64" s="455"/>
      <c r="H64" s="455"/>
      <c r="I64" s="465"/>
      <c r="J64" s="4"/>
      <c r="K64" s="4"/>
    </row>
    <row r="65" spans="2:11">
      <c r="B65" s="4"/>
      <c r="C65" s="4" t="str">
        <f>"   Annual Revenue Requirement, with "&amp;F17&amp;" Basis Point ROE increase"</f>
        <v xml:space="preserve">   Annual Revenue Requirement, with 0 Basis Point ROE increase</v>
      </c>
      <c r="D65" s="78"/>
      <c r="E65" s="4"/>
      <c r="F65" s="455">
        <f>F58</f>
        <v>565575126.85593212</v>
      </c>
      <c r="G65" s="455"/>
      <c r="H65" s="4"/>
      <c r="I65" s="454"/>
      <c r="J65" s="4"/>
      <c r="K65" s="4"/>
    </row>
    <row r="66" spans="2:11">
      <c r="B66" s="4"/>
      <c r="C66" s="4" t="str">
        <f>"   FCR with "&amp;F17&amp;" Basis Point increase in ROE"</f>
        <v xml:space="preserve">   FCR with 0 Basis Point increase in ROE</v>
      </c>
      <c r="D66" s="78"/>
      <c r="E66" s="4"/>
      <c r="F66" s="80">
        <f>F65/F64</f>
        <v>0.13963092271150759</v>
      </c>
      <c r="G66" s="80"/>
      <c r="H66" s="80"/>
      <c r="I66" s="454"/>
      <c r="J66" s="4"/>
      <c r="K66" s="4"/>
    </row>
    <row r="67" spans="2:11">
      <c r="B67" s="4"/>
      <c r="C67" s="68"/>
      <c r="D67" s="78"/>
      <c r="E67" s="4"/>
      <c r="F67" s="4"/>
      <c r="G67" s="4"/>
      <c r="H67" s="4"/>
      <c r="I67" s="454"/>
      <c r="J67" s="4"/>
      <c r="K67" s="4"/>
    </row>
    <row r="68" spans="2:11">
      <c r="B68" s="4"/>
      <c r="C68" s="4" t="str">
        <f>"   Annual Rev. Req, w / "&amp;F17&amp;" Basis Point ROE increase, less Dep."</f>
        <v xml:space="preserve">   Annual Rev. Req, w / 0 Basis Point ROE increase, less Dep.</v>
      </c>
      <c r="D68" s="78"/>
      <c r="E68" s="4"/>
      <c r="F68" s="455">
        <f>F60</f>
        <v>446282217.45676208</v>
      </c>
      <c r="G68" s="455"/>
      <c r="H68" s="4"/>
      <c r="I68" s="454"/>
      <c r="J68" s="4"/>
      <c r="K68" s="4"/>
    </row>
    <row r="69" spans="2:11">
      <c r="B69" s="4"/>
      <c r="C69" s="4" t="str">
        <f>"   FCR with "&amp;F17&amp;" Basis Point ROE increase, less Depreciation"</f>
        <v xml:space="preserve">   FCR with 0 Basis Point ROE increase, less Depreciation</v>
      </c>
      <c r="D69" s="78"/>
      <c r="E69" s="4"/>
      <c r="F69" s="80">
        <f>F68/F64</f>
        <v>0.11017952320434825</v>
      </c>
      <c r="G69" s="80"/>
      <c r="H69" s="4"/>
      <c r="I69" s="454"/>
      <c r="J69" s="4"/>
      <c r="K69" s="4"/>
    </row>
    <row r="70" spans="2:11">
      <c r="B70" s="4"/>
      <c r="C70" s="417" t="str">
        <f>"   FCR less Depreciation  (TCOS, ln "&amp;TCOS!B34&amp;")"</f>
        <v xml:space="preserve">   FCR less Depreciation  (TCOS, ln 10)</v>
      </c>
      <c r="D70" s="78"/>
      <c r="E70" s="4"/>
      <c r="F70" s="466">
        <f>TCOS!L34</f>
        <v>0.11017952320434825</v>
      </c>
      <c r="G70" s="466"/>
      <c r="H70" s="4"/>
      <c r="I70" s="454"/>
      <c r="J70" s="4"/>
      <c r="K70" s="4"/>
    </row>
    <row r="71" spans="2:11">
      <c r="B71" s="4"/>
      <c r="C71" s="1283" t="str">
        <f>"   Incremental FCR with "&amp;F17&amp;" Basis Point ROE increase, less Depreciation"</f>
        <v xml:space="preserve">   Incremental FCR with 0 Basis Point ROE increase, less Depreciation</v>
      </c>
      <c r="D71" s="1301"/>
      <c r="E71" s="4"/>
      <c r="F71" s="80">
        <f>F69-F70</f>
        <v>0</v>
      </c>
      <c r="G71" s="80"/>
      <c r="H71" s="4"/>
      <c r="I71" s="454"/>
      <c r="J71" s="4"/>
      <c r="K71" s="4"/>
    </row>
    <row r="72" spans="2:11">
      <c r="B72" s="4"/>
      <c r="C72" s="1301"/>
      <c r="D72" s="1301"/>
      <c r="E72" s="4"/>
      <c r="F72" s="80"/>
      <c r="G72" s="80"/>
      <c r="H72" s="4"/>
      <c r="I72" s="454"/>
      <c r="J72" s="4"/>
      <c r="K72" s="4"/>
    </row>
    <row r="73" spans="2:11" ht="18.75">
      <c r="B73" s="415" t="s">
        <v>173</v>
      </c>
      <c r="C73" s="13" t="s">
        <v>267</v>
      </c>
      <c r="D73" s="78"/>
      <c r="E73" s="4"/>
      <c r="F73" s="80"/>
      <c r="G73" s="80"/>
      <c r="H73" s="4"/>
      <c r="I73" s="454"/>
      <c r="J73" s="4"/>
      <c r="K73" s="4"/>
    </row>
    <row r="74" spans="2:11">
      <c r="B74" s="4"/>
      <c r="C74" s="4"/>
      <c r="D74" s="78"/>
      <c r="E74" s="4"/>
      <c r="F74" s="80"/>
      <c r="G74" s="80"/>
      <c r="H74" s="4"/>
      <c r="I74" s="454"/>
      <c r="J74" s="4"/>
      <c r="K74" s="4"/>
    </row>
    <row r="75" spans="2:11">
      <c r="B75" s="4"/>
      <c r="C75" s="4" t="str">
        <f>+"Average Transmission Plant Balance for "&amp;TCOS!L4&amp;" (TCOS, ln "&amp;TCOS!B68&amp;")"</f>
        <v>Average Transmission Plant Balance for 2025 (TCOS, ln 21)</v>
      </c>
      <c r="D75" s="78"/>
      <c r="H75" s="454">
        <f>TCOS!L68</f>
        <v>5033344077.0161533</v>
      </c>
      <c r="J75" s="4"/>
      <c r="K75" s="4"/>
    </row>
    <row r="76" spans="2:11">
      <c r="B76" s="4"/>
      <c r="C76" s="4" t="str">
        <f>"Annual Depreciation and Amortization Expense (TCOS, ln "&amp;TCOS!B181&amp;")"</f>
        <v>Annual Depreciation and Amortization Expense (TCOS, ln 100)</v>
      </c>
      <c r="D76" s="78"/>
      <c r="E76" s="4"/>
      <c r="H76" s="468">
        <f>TCOS!L181</f>
        <v>119292909.39917004</v>
      </c>
      <c r="I76" s="454"/>
      <c r="J76" s="4"/>
      <c r="K76" s="4"/>
    </row>
    <row r="77" spans="2:11">
      <c r="B77" s="4"/>
      <c r="C77" s="4" t="s">
        <v>268</v>
      </c>
      <c r="D77" s="78"/>
      <c r="E77" s="4"/>
      <c r="H77" s="80">
        <f>+H76/H75</f>
        <v>2.3700527437394817E-2</v>
      </c>
      <c r="I77" s="470"/>
      <c r="J77" s="4"/>
      <c r="K77" s="4"/>
    </row>
    <row r="78" spans="2:11">
      <c r="B78" s="4"/>
      <c r="C78" s="4" t="s">
        <v>269</v>
      </c>
      <c r="D78" s="78"/>
      <c r="E78" s="4"/>
      <c r="H78" s="470">
        <f>1/H77</f>
        <v>42.193153829234816</v>
      </c>
      <c r="I78" s="454"/>
      <c r="J78" s="4"/>
      <c r="K78" s="4"/>
    </row>
    <row r="79" spans="2:11">
      <c r="B79" s="4"/>
      <c r="C79" s="4" t="s">
        <v>270</v>
      </c>
      <c r="D79" s="78"/>
      <c r="E79" s="4"/>
      <c r="H79" s="471">
        <f>ROUND(H78,0)</f>
        <v>42</v>
      </c>
      <c r="I79" s="454"/>
      <c r="J79" s="4"/>
      <c r="K79" s="4"/>
    </row>
    <row r="80" spans="2:11">
      <c r="B80" s="4"/>
      <c r="C80" s="4"/>
      <c r="D80" s="78"/>
      <c r="E80" s="4"/>
      <c r="H80" s="471"/>
      <c r="I80" s="454"/>
      <c r="J80" s="4"/>
      <c r="K80" s="4"/>
    </row>
    <row r="81" spans="1:17">
      <c r="C81" s="472"/>
      <c r="D81" s="471"/>
      <c r="E81" s="471"/>
      <c r="F81" s="471"/>
      <c r="G81" s="471"/>
      <c r="H81" s="469"/>
      <c r="I81" s="469"/>
      <c r="J81" s="473"/>
      <c r="K81" s="473"/>
      <c r="L81" s="473"/>
      <c r="M81" s="473"/>
      <c r="N81" s="473"/>
      <c r="O81" s="473"/>
      <c r="Q81" s="473"/>
    </row>
    <row r="82" spans="1:17">
      <c r="C82" s="472"/>
      <c r="D82" s="471"/>
      <c r="E82" s="471"/>
      <c r="F82" s="471"/>
      <c r="G82" s="471"/>
      <c r="H82" s="469"/>
      <c r="I82" s="469"/>
      <c r="J82" s="473"/>
      <c r="K82" s="473"/>
      <c r="L82" s="473"/>
      <c r="M82" s="473"/>
      <c r="N82" s="473"/>
      <c r="O82" s="473"/>
      <c r="Q82" s="473"/>
    </row>
    <row r="83" spans="1:17" ht="20.25">
      <c r="A83" s="413" t="s">
        <v>767</v>
      </c>
      <c r="B83" s="4"/>
      <c r="C83" s="4"/>
      <c r="D83" s="78"/>
      <c r="E83" s="4"/>
      <c r="F83" s="80"/>
      <c r="G83" s="80"/>
      <c r="H83" s="4"/>
      <c r="I83" s="454"/>
      <c r="L83" s="11"/>
      <c r="M83" s="11"/>
      <c r="N83" s="11"/>
      <c r="O83" s="11" t="str">
        <f>"Page "&amp;SUM(Q$3:Q83)&amp;" of "</f>
        <v xml:space="preserve">Page 2 of </v>
      </c>
      <c r="P83" s="414">
        <f>COUNT(Q$8:Q$58123)</f>
        <v>16</v>
      </c>
      <c r="Q83" s="544">
        <v>1</v>
      </c>
    </row>
    <row r="84" spans="1:17">
      <c r="B84" s="4"/>
      <c r="C84" s="4"/>
      <c r="D84" s="78"/>
      <c r="E84" s="4"/>
      <c r="F84" s="4"/>
      <c r="G84" s="4"/>
      <c r="H84" s="4"/>
      <c r="I84" s="454"/>
      <c r="J84" s="4"/>
      <c r="K84" s="4"/>
    </row>
    <row r="85" spans="1:17" ht="18">
      <c r="B85" s="415" t="s">
        <v>174</v>
      </c>
      <c r="C85" s="474" t="s">
        <v>290</v>
      </c>
      <c r="D85" s="78"/>
      <c r="E85" s="4"/>
      <c r="F85" s="4"/>
      <c r="G85" s="4"/>
      <c r="H85" s="4"/>
      <c r="I85" s="454"/>
      <c r="J85" s="454"/>
      <c r="K85" s="469"/>
      <c r="L85" s="454"/>
      <c r="M85" s="454"/>
      <c r="N85" s="454"/>
      <c r="O85" s="454"/>
      <c r="Q85" s="469"/>
    </row>
    <row r="86" spans="1:17" ht="18.75">
      <c r="B86" s="415"/>
      <c r="C86" s="13"/>
      <c r="D86" s="78"/>
      <c r="E86" s="4"/>
      <c r="F86" s="4"/>
      <c r="G86" s="4"/>
      <c r="H86" s="4"/>
      <c r="I86" s="454"/>
      <c r="J86" s="454"/>
      <c r="K86" s="469"/>
      <c r="L86" s="454"/>
      <c r="M86" s="454"/>
      <c r="N86" s="454"/>
      <c r="O86" s="454"/>
      <c r="Q86" s="469"/>
    </row>
    <row r="87" spans="1:17" ht="18.75">
      <c r="B87" s="415"/>
      <c r="C87" s="13" t="s">
        <v>291</v>
      </c>
      <c r="D87" s="78"/>
      <c r="E87" s="4"/>
      <c r="F87" s="4"/>
      <c r="G87" s="4"/>
      <c r="H87" s="4"/>
      <c r="I87" s="454"/>
      <c r="J87" s="454"/>
      <c r="K87" s="469"/>
      <c r="L87" s="454"/>
      <c r="M87" s="454"/>
      <c r="N87" s="454"/>
      <c r="O87" s="454"/>
      <c r="Q87" s="469"/>
    </row>
    <row r="88" spans="1:17" ht="15.75" thickBot="1">
      <c r="C88" s="250"/>
      <c r="D88" s="78"/>
      <c r="E88" s="4"/>
      <c r="F88" s="4"/>
      <c r="G88" s="4"/>
      <c r="H88" s="4"/>
      <c r="I88" s="454"/>
      <c r="J88" s="454"/>
      <c r="K88" s="469"/>
      <c r="L88" s="454"/>
      <c r="M88" s="454"/>
      <c r="N88" s="454"/>
      <c r="O88" s="454"/>
      <c r="Q88" s="469"/>
    </row>
    <row r="89" spans="1:17" ht="15.75">
      <c r="C89" s="416" t="s">
        <v>292</v>
      </c>
      <c r="D89" s="78"/>
      <c r="E89" s="4"/>
      <c r="F89" s="4"/>
      <c r="G89" s="4"/>
      <c r="H89" s="642"/>
      <c r="I89" s="4" t="s">
        <v>271</v>
      </c>
      <c r="J89" s="4"/>
      <c r="K89" s="4"/>
      <c r="L89" s="545">
        <f>+J95</f>
        <v>2025</v>
      </c>
      <c r="M89" s="529" t="s">
        <v>254</v>
      </c>
      <c r="N89" s="529" t="s">
        <v>255</v>
      </c>
      <c r="O89" s="530" t="s">
        <v>256</v>
      </c>
    </row>
    <row r="90" spans="1:17" ht="15.75">
      <c r="C90" s="416"/>
      <c r="D90" s="78"/>
      <c r="E90" s="4"/>
      <c r="F90" s="4"/>
      <c r="H90" s="4"/>
      <c r="I90" s="478"/>
      <c r="J90" s="478"/>
      <c r="K90" s="479"/>
      <c r="L90" s="546" t="s">
        <v>455</v>
      </c>
      <c r="M90" s="547">
        <f>VLOOKUP(J95,C102:P161,10)</f>
        <v>1245388.966179545</v>
      </c>
      <c r="N90" s="547">
        <f>VLOOKUP(J95,C102:P161,12)</f>
        <v>1245388.966179545</v>
      </c>
      <c r="O90" s="548">
        <f>+N90-M90</f>
        <v>0</v>
      </c>
      <c r="Q90" s="479"/>
    </row>
    <row r="91" spans="1:17">
      <c r="C91" s="481" t="s">
        <v>293</v>
      </c>
      <c r="D91" s="1304" t="s">
        <v>928</v>
      </c>
      <c r="E91" s="1304"/>
      <c r="F91" s="1304"/>
      <c r="G91" s="1304"/>
      <c r="H91" s="653"/>
      <c r="I91" s="454"/>
      <c r="J91" s="454"/>
      <c r="K91" s="469"/>
      <c r="L91" s="546" t="s">
        <v>456</v>
      </c>
      <c r="M91" s="549">
        <f>VLOOKUP(J95,C102:P161,6)</f>
        <v>1232658.468282311</v>
      </c>
      <c r="N91" s="549">
        <f>VLOOKUP(J95,C102:P161,7)</f>
        <v>1232658.468282311</v>
      </c>
      <c r="O91" s="550">
        <f>+N91-M91</f>
        <v>0</v>
      </c>
      <c r="Q91" s="469"/>
    </row>
    <row r="92" spans="1:17" ht="13.5" thickBot="1">
      <c r="C92" s="483"/>
      <c r="D92" s="484"/>
      <c r="E92" s="471"/>
      <c r="F92" s="471"/>
      <c r="G92" s="471"/>
      <c r="H92" s="485"/>
      <c r="I92" s="454"/>
      <c r="J92" s="454"/>
      <c r="K92" s="469"/>
      <c r="L92" s="495" t="s">
        <v>457</v>
      </c>
      <c r="M92" s="551">
        <f>+M91-M90</f>
        <v>-12730.497897234047</v>
      </c>
      <c r="N92" s="551">
        <f>+N91-N90</f>
        <v>-12730.497897234047</v>
      </c>
      <c r="O92" s="552">
        <f>+O91-O90</f>
        <v>0</v>
      </c>
      <c r="Q92" s="469"/>
    </row>
    <row r="93" spans="1:17" ht="13.5" thickBot="1">
      <c r="C93" s="483"/>
      <c r="D93" s="4"/>
      <c r="E93" s="485"/>
      <c r="F93" s="485"/>
      <c r="G93" s="485"/>
      <c r="H93" s="485"/>
      <c r="I93" s="485"/>
      <c r="J93" s="485"/>
      <c r="K93" s="485"/>
      <c r="L93" s="485"/>
      <c r="M93" s="485"/>
      <c r="N93" s="485"/>
      <c r="O93" s="485"/>
      <c r="Q93" s="485"/>
    </row>
    <row r="94" spans="1:17" ht="13.5" thickBot="1">
      <c r="C94" s="487" t="s">
        <v>294</v>
      </c>
      <c r="D94" s="488"/>
      <c r="E94" s="488"/>
      <c r="F94" s="488"/>
      <c r="G94" s="488"/>
      <c r="H94" s="488"/>
      <c r="I94" s="488"/>
      <c r="J94" s="488"/>
      <c r="Q94"/>
    </row>
    <row r="95" spans="1:17" ht="15">
      <c r="A95" s="486"/>
      <c r="C95" s="490" t="s">
        <v>272</v>
      </c>
      <c r="D95" s="643">
        <v>13789271.550000001</v>
      </c>
      <c r="E95" s="4" t="s">
        <v>273</v>
      </c>
      <c r="H95" s="78"/>
      <c r="I95" s="78"/>
      <c r="J95" s="491">
        <v>2025</v>
      </c>
      <c r="K95" s="134"/>
      <c r="L95" s="1305" t="s">
        <v>274</v>
      </c>
      <c r="M95" s="1305"/>
      <c r="N95" s="1305"/>
      <c r="O95" s="1305"/>
      <c r="Q95" s="134"/>
    </row>
    <row r="96" spans="1:17">
      <c r="A96" s="486"/>
      <c r="C96" s="490" t="s">
        <v>275</v>
      </c>
      <c r="D96" s="654">
        <v>2008</v>
      </c>
      <c r="E96" s="490" t="s">
        <v>276</v>
      </c>
      <c r="F96" s="78"/>
      <c r="G96" s="78"/>
      <c r="I96"/>
      <c r="J96" s="647">
        <v>0</v>
      </c>
      <c r="K96" s="492"/>
      <c r="L96" s="469" t="s">
        <v>475</v>
      </c>
      <c r="Q96" s="492"/>
    </row>
    <row r="97" spans="1:17">
      <c r="A97" s="486"/>
      <c r="C97" s="490" t="s">
        <v>277</v>
      </c>
      <c r="D97" s="645">
        <v>6</v>
      </c>
      <c r="E97" s="490" t="s">
        <v>278</v>
      </c>
      <c r="F97" s="78"/>
      <c r="G97" s="78"/>
      <c r="I97"/>
      <c r="J97" s="493">
        <f>$F$70</f>
        <v>0.11017952320434825</v>
      </c>
      <c r="K97" s="80"/>
      <c r="L97" s="4" t="str">
        <f>"          INPUT TRUE-UP ARR (WITH &amp; WITHOUT INCENTIVES) FROM EACH PRIOR YEAR"</f>
        <v xml:space="preserve">          INPUT TRUE-UP ARR (WITH &amp; WITHOUT INCENTIVES) FROM EACH PRIOR YEAR</v>
      </c>
      <c r="Q97" s="80"/>
    </row>
    <row r="98" spans="1:17">
      <c r="A98" s="486"/>
      <c r="C98" s="490" t="s">
        <v>279</v>
      </c>
      <c r="D98" s="494">
        <f>H79</f>
        <v>42</v>
      </c>
      <c r="E98" s="490" t="s">
        <v>280</v>
      </c>
      <c r="F98" s="78"/>
      <c r="G98" s="78"/>
      <c r="I98"/>
      <c r="J98" s="493">
        <f>IF(H89="",J97,$F$69)</f>
        <v>0.11017952320434825</v>
      </c>
      <c r="K98" s="80"/>
      <c r="L98" s="4" t="s">
        <v>362</v>
      </c>
      <c r="M98" s="80"/>
      <c r="N98" s="80"/>
      <c r="O98" s="80"/>
      <c r="Q98" s="80"/>
    </row>
    <row r="99" spans="1:17" ht="13.5" thickBot="1">
      <c r="A99" s="486"/>
      <c r="C99" s="490" t="s">
        <v>281</v>
      </c>
      <c r="D99" s="646" t="s">
        <v>929</v>
      </c>
      <c r="E99" s="495" t="s">
        <v>282</v>
      </c>
      <c r="F99" s="496"/>
      <c r="G99" s="496"/>
      <c r="H99" s="497"/>
      <c r="I99" s="497"/>
      <c r="J99" s="482">
        <f>IF(D95=0,0,D95/D98)</f>
        <v>328315.98928571428</v>
      </c>
      <c r="K99" s="469"/>
      <c r="L99" s="469" t="s">
        <v>363</v>
      </c>
      <c r="M99" s="469"/>
      <c r="N99" s="469"/>
      <c r="O99" s="469"/>
      <c r="Q99" s="469"/>
    </row>
    <row r="100" spans="1:17" ht="38.25">
      <c r="A100" s="12"/>
      <c r="B100" s="12"/>
      <c r="C100" s="498" t="s">
        <v>272</v>
      </c>
      <c r="D100" s="499" t="s">
        <v>283</v>
      </c>
      <c r="E100" s="500" t="s">
        <v>284</v>
      </c>
      <c r="F100" s="499" t="s">
        <v>285</v>
      </c>
      <c r="G100" s="499" t="s">
        <v>458</v>
      </c>
      <c r="H100" s="500" t="s">
        <v>356</v>
      </c>
      <c r="I100" s="501" t="s">
        <v>356</v>
      </c>
      <c r="J100" s="498" t="s">
        <v>295</v>
      </c>
      <c r="K100" s="502"/>
      <c r="L100" s="500" t="s">
        <v>358</v>
      </c>
      <c r="M100" s="500" t="s">
        <v>364</v>
      </c>
      <c r="N100" s="500" t="s">
        <v>358</v>
      </c>
      <c r="O100" s="500" t="s">
        <v>366</v>
      </c>
      <c r="P100" s="500" t="s">
        <v>286</v>
      </c>
      <c r="Q100" s="127"/>
    </row>
    <row r="101" spans="1:17" ht="13.5" thickBot="1">
      <c r="C101" s="503" t="s">
        <v>177</v>
      </c>
      <c r="D101" s="504" t="s">
        <v>178</v>
      </c>
      <c r="E101" s="503" t="s">
        <v>37</v>
      </c>
      <c r="F101" s="504" t="s">
        <v>178</v>
      </c>
      <c r="G101" s="504" t="s">
        <v>178</v>
      </c>
      <c r="H101" s="505" t="s">
        <v>298</v>
      </c>
      <c r="I101" s="506" t="s">
        <v>300</v>
      </c>
      <c r="J101" s="503" t="s">
        <v>389</v>
      </c>
      <c r="K101" s="507"/>
      <c r="L101" s="505" t="s">
        <v>287</v>
      </c>
      <c r="M101" s="505" t="s">
        <v>287</v>
      </c>
      <c r="N101" s="505" t="s">
        <v>467</v>
      </c>
      <c r="O101" s="505" t="s">
        <v>467</v>
      </c>
      <c r="P101" s="505" t="s">
        <v>467</v>
      </c>
      <c r="Q101" s="134"/>
    </row>
    <row r="102" spans="1:17">
      <c r="C102" s="508">
        <f>IF(D96= "","-",D96)</f>
        <v>2008</v>
      </c>
      <c r="D102" s="471">
        <f>+D95</f>
        <v>13789271.550000001</v>
      </c>
      <c r="E102" s="509">
        <f>+J99/12*(12-D97)</f>
        <v>164157.99464285714</v>
      </c>
      <c r="F102" s="553">
        <f t="shared" ref="F102:F133" si="0">+D102-E102</f>
        <v>13625113.555357143</v>
      </c>
      <c r="G102" s="471">
        <f t="shared" ref="G102:G133" si="1">+(D102+F102)/2</f>
        <v>13707192.552678572</v>
      </c>
      <c r="H102" s="510">
        <f>+J97*G102+E102</f>
        <v>1674409.9345671753</v>
      </c>
      <c r="I102" s="511">
        <f>+J98*G102+E102</f>
        <v>1674409.9345671753</v>
      </c>
      <c r="J102" s="512">
        <f t="shared" ref="J102:J133" si="2">+I102-H102</f>
        <v>0</v>
      </c>
      <c r="K102" s="512"/>
      <c r="L102" s="513">
        <v>0</v>
      </c>
      <c r="M102" s="554">
        <f t="shared" ref="M102:M133" si="3">IF(L102&lt;&gt;0,+H102-L102,0)</f>
        <v>0</v>
      </c>
      <c r="N102" s="513">
        <v>0</v>
      </c>
      <c r="O102" s="554">
        <f t="shared" ref="O102:O133" si="4">IF(N102&lt;&gt;0,+I102-N102,0)</f>
        <v>0</v>
      </c>
      <c r="P102" s="554">
        <f t="shared" ref="P102:P133" si="5">+O102-M102</f>
        <v>0</v>
      </c>
      <c r="Q102" s="473"/>
    </row>
    <row r="103" spans="1:17">
      <c r="C103" s="508">
        <f>IF(D96="","-",+C102+1)</f>
        <v>2009</v>
      </c>
      <c r="D103" s="471">
        <f t="shared" ref="D103:D134" si="6">F102</f>
        <v>13625113.555357143</v>
      </c>
      <c r="E103" s="515">
        <f t="shared" ref="E103:E134" si="7">IF(D103&gt;$J$99,$J$99,D103)</f>
        <v>328315.98928571428</v>
      </c>
      <c r="F103" s="515">
        <f t="shared" si="0"/>
        <v>13296797.566071428</v>
      </c>
      <c r="G103" s="471">
        <f t="shared" si="1"/>
        <v>13460955.560714286</v>
      </c>
      <c r="H103" s="509">
        <f>+J97*G103+E103</f>
        <v>1811437.6548401345</v>
      </c>
      <c r="I103" s="516">
        <f>+J98*G103+E103</f>
        <v>1811437.6548401345</v>
      </c>
      <c r="J103" s="512">
        <f t="shared" si="2"/>
        <v>0</v>
      </c>
      <c r="K103" s="512"/>
      <c r="L103" s="517">
        <v>1124469.1016438</v>
      </c>
      <c r="M103" s="512">
        <f t="shared" si="3"/>
        <v>686968.55319633451</v>
      </c>
      <c r="N103" s="517">
        <v>1124469.1016438</v>
      </c>
      <c r="O103" s="512">
        <f t="shared" si="4"/>
        <v>686968.55319633451</v>
      </c>
      <c r="P103" s="512">
        <f t="shared" si="5"/>
        <v>0</v>
      </c>
      <c r="Q103" s="473"/>
    </row>
    <row r="104" spans="1:17">
      <c r="C104" s="508">
        <f>IF(D96="","-",+C103+1)</f>
        <v>2010</v>
      </c>
      <c r="D104" s="471">
        <f t="shared" si="6"/>
        <v>13296797.566071428</v>
      </c>
      <c r="E104" s="515">
        <f t="shared" si="7"/>
        <v>328315.98928571428</v>
      </c>
      <c r="F104" s="515">
        <f t="shared" si="0"/>
        <v>12968481.576785713</v>
      </c>
      <c r="G104" s="471">
        <f t="shared" si="1"/>
        <v>13132639.571428571</v>
      </c>
      <c r="H104" s="509">
        <f>+J97*G104+E104</f>
        <v>1775263.9556802704</v>
      </c>
      <c r="I104" s="516">
        <f>+J98*G104+E104</f>
        <v>1775263.9556802704</v>
      </c>
      <c r="J104" s="512">
        <f t="shared" si="2"/>
        <v>0</v>
      </c>
      <c r="K104" s="512"/>
      <c r="L104" s="517">
        <v>2027403</v>
      </c>
      <c r="M104" s="512">
        <f t="shared" si="3"/>
        <v>-252139.04431972955</v>
      </c>
      <c r="N104" s="517">
        <v>2027403</v>
      </c>
      <c r="O104" s="512">
        <f t="shared" si="4"/>
        <v>-252139.04431972955</v>
      </c>
      <c r="P104" s="512">
        <f t="shared" si="5"/>
        <v>0</v>
      </c>
      <c r="Q104" s="473"/>
    </row>
    <row r="105" spans="1:17">
      <c r="C105" s="508">
        <f>IF(D96="","-",+C104+1)</f>
        <v>2011</v>
      </c>
      <c r="D105" s="471">
        <f t="shared" si="6"/>
        <v>12968481.576785713</v>
      </c>
      <c r="E105" s="515">
        <f t="shared" si="7"/>
        <v>328315.98928571428</v>
      </c>
      <c r="F105" s="515">
        <f t="shared" si="0"/>
        <v>12640165.587499999</v>
      </c>
      <c r="G105" s="471">
        <f t="shared" si="1"/>
        <v>12804323.582142856</v>
      </c>
      <c r="H105" s="509">
        <f>+J97*G105+E105</f>
        <v>1739090.2565204066</v>
      </c>
      <c r="I105" s="516">
        <f>+J98*G105+E105</f>
        <v>1739090.2565204066</v>
      </c>
      <c r="J105" s="512">
        <f t="shared" si="2"/>
        <v>0</v>
      </c>
      <c r="K105" s="512"/>
      <c r="L105" s="517">
        <v>2050107</v>
      </c>
      <c r="M105" s="512">
        <f t="shared" si="3"/>
        <v>-311016.74347959342</v>
      </c>
      <c r="N105" s="517">
        <v>2050107</v>
      </c>
      <c r="O105" s="512">
        <f t="shared" si="4"/>
        <v>-311016.74347959342</v>
      </c>
      <c r="P105" s="512">
        <f t="shared" si="5"/>
        <v>0</v>
      </c>
      <c r="Q105" s="473"/>
    </row>
    <row r="106" spans="1:17">
      <c r="C106" s="508">
        <f>IF(D96="","-",+C105+1)</f>
        <v>2012</v>
      </c>
      <c r="D106" s="471">
        <f t="shared" si="6"/>
        <v>12640165.587499999</v>
      </c>
      <c r="E106" s="515">
        <f t="shared" si="7"/>
        <v>328315.98928571428</v>
      </c>
      <c r="F106" s="515">
        <f t="shared" si="0"/>
        <v>12311849.598214284</v>
      </c>
      <c r="G106" s="471">
        <f t="shared" si="1"/>
        <v>12476007.592857141</v>
      </c>
      <c r="H106" s="509">
        <f>+J97*G106+E106</f>
        <v>1702916.5573605425</v>
      </c>
      <c r="I106" s="516">
        <f>+J98*G106+E106</f>
        <v>1702916.5573605425</v>
      </c>
      <c r="J106" s="512">
        <f t="shared" si="2"/>
        <v>0</v>
      </c>
      <c r="K106" s="512"/>
      <c r="L106" s="517">
        <v>1906118.0340840491</v>
      </c>
      <c r="M106" s="512">
        <f t="shared" si="3"/>
        <v>-203201.47672350658</v>
      </c>
      <c r="N106" s="517">
        <v>1906118.0340840491</v>
      </c>
      <c r="O106" s="512">
        <f t="shared" si="4"/>
        <v>-203201.47672350658</v>
      </c>
      <c r="P106" s="512">
        <f t="shared" si="5"/>
        <v>0</v>
      </c>
      <c r="Q106" s="473"/>
    </row>
    <row r="107" spans="1:17">
      <c r="C107" s="508">
        <f>IF(D96="","-",+C106+1)</f>
        <v>2013</v>
      </c>
      <c r="D107" s="471">
        <f t="shared" si="6"/>
        <v>12311849.598214284</v>
      </c>
      <c r="E107" s="515">
        <f t="shared" si="7"/>
        <v>328315.98928571428</v>
      </c>
      <c r="F107" s="515">
        <f t="shared" si="0"/>
        <v>11983533.608928569</v>
      </c>
      <c r="G107" s="471">
        <f t="shared" si="1"/>
        <v>12147691.603571426</v>
      </c>
      <c r="H107" s="509">
        <f>+J97*G107+E107</f>
        <v>1666742.8582006786</v>
      </c>
      <c r="I107" s="516">
        <f>+J98*G107+E107</f>
        <v>1666742.8582006786</v>
      </c>
      <c r="J107" s="512">
        <f t="shared" si="2"/>
        <v>0</v>
      </c>
      <c r="K107" s="512"/>
      <c r="L107" s="517">
        <v>1915150</v>
      </c>
      <c r="M107" s="512">
        <f t="shared" si="3"/>
        <v>-248407.1417993214</v>
      </c>
      <c r="N107" s="517">
        <v>1915150</v>
      </c>
      <c r="O107" s="512">
        <f t="shared" si="4"/>
        <v>-248407.1417993214</v>
      </c>
      <c r="P107" s="512">
        <f t="shared" si="5"/>
        <v>0</v>
      </c>
      <c r="Q107" s="473"/>
    </row>
    <row r="108" spans="1:17">
      <c r="C108" s="508">
        <f>IF(D96="","-",+C107+1)</f>
        <v>2014</v>
      </c>
      <c r="D108" s="471">
        <f t="shared" si="6"/>
        <v>11983533.608928569</v>
      </c>
      <c r="E108" s="515">
        <f t="shared" si="7"/>
        <v>328315.98928571428</v>
      </c>
      <c r="F108" s="515">
        <f t="shared" si="0"/>
        <v>11655217.619642854</v>
      </c>
      <c r="G108" s="471">
        <f t="shared" si="1"/>
        <v>11819375.614285711</v>
      </c>
      <c r="H108" s="509">
        <f>+J97*G108+E108</f>
        <v>1630569.1590408145</v>
      </c>
      <c r="I108" s="516">
        <f>+J98*G108+E108</f>
        <v>1630569.1590408145</v>
      </c>
      <c r="J108" s="512">
        <f t="shared" si="2"/>
        <v>0</v>
      </c>
      <c r="K108" s="512"/>
      <c r="L108" s="517">
        <v>1778172</v>
      </c>
      <c r="M108" s="512">
        <f t="shared" si="3"/>
        <v>-147602.8409591855</v>
      </c>
      <c r="N108" s="517">
        <v>1778172</v>
      </c>
      <c r="O108" s="512">
        <f t="shared" si="4"/>
        <v>-147602.8409591855</v>
      </c>
      <c r="P108" s="512">
        <f t="shared" si="5"/>
        <v>0</v>
      </c>
      <c r="Q108" s="473"/>
    </row>
    <row r="109" spans="1:17">
      <c r="C109" s="508">
        <f>IF(D96="","-",+C108+1)</f>
        <v>2015</v>
      </c>
      <c r="D109" s="471">
        <f t="shared" si="6"/>
        <v>11655217.619642854</v>
      </c>
      <c r="E109" s="515">
        <f t="shared" si="7"/>
        <v>328315.98928571428</v>
      </c>
      <c r="F109" s="515">
        <f t="shared" si="0"/>
        <v>11326901.630357139</v>
      </c>
      <c r="G109" s="471">
        <f t="shared" si="1"/>
        <v>11491059.624999996</v>
      </c>
      <c r="H109" s="509">
        <f>+J97*G109+E109</f>
        <v>1594395.4598809506</v>
      </c>
      <c r="I109" s="516">
        <f>+J98*G109+E109</f>
        <v>1594395.4598809506</v>
      </c>
      <c r="J109" s="512">
        <f t="shared" si="2"/>
        <v>0</v>
      </c>
      <c r="K109" s="512"/>
      <c r="L109" s="517">
        <v>1790894</v>
      </c>
      <c r="M109" s="512">
        <f t="shared" si="3"/>
        <v>-196498.54011904937</v>
      </c>
      <c r="N109" s="517">
        <v>1790894</v>
      </c>
      <c r="O109" s="512">
        <f t="shared" si="4"/>
        <v>-196498.54011904937</v>
      </c>
      <c r="P109" s="512">
        <f t="shared" si="5"/>
        <v>0</v>
      </c>
      <c r="Q109" s="473"/>
    </row>
    <row r="110" spans="1:17">
      <c r="C110" s="508">
        <f>IF(D96="","-",+C109+1)</f>
        <v>2016</v>
      </c>
      <c r="D110" s="471">
        <f t="shared" si="6"/>
        <v>11326901.630357139</v>
      </c>
      <c r="E110" s="515">
        <f t="shared" si="7"/>
        <v>328315.98928571428</v>
      </c>
      <c r="F110" s="515">
        <f t="shared" si="0"/>
        <v>10998585.641071424</v>
      </c>
      <c r="G110" s="471">
        <f t="shared" si="1"/>
        <v>11162743.635714281</v>
      </c>
      <c r="H110" s="509">
        <f>+J97*G110+E110</f>
        <v>1558221.7607210865</v>
      </c>
      <c r="I110" s="516">
        <f>+J98*G110+E110</f>
        <v>1558221.7607210865</v>
      </c>
      <c r="J110" s="512">
        <f t="shared" si="2"/>
        <v>0</v>
      </c>
      <c r="K110" s="512"/>
      <c r="L110" s="517">
        <v>1719834</v>
      </c>
      <c r="M110" s="512">
        <f t="shared" si="3"/>
        <v>-161612.23927891348</v>
      </c>
      <c r="N110" s="517">
        <v>1719834</v>
      </c>
      <c r="O110" s="512">
        <f t="shared" si="4"/>
        <v>-161612.23927891348</v>
      </c>
      <c r="P110" s="512">
        <f t="shared" si="5"/>
        <v>0</v>
      </c>
      <c r="Q110" s="473"/>
    </row>
    <row r="111" spans="1:17">
      <c r="C111" s="508">
        <f>IF(D96="","-",+C110+1)</f>
        <v>2017</v>
      </c>
      <c r="D111" s="471">
        <f t="shared" si="6"/>
        <v>10998585.641071424</v>
      </c>
      <c r="E111" s="515">
        <f t="shared" si="7"/>
        <v>328315.98928571428</v>
      </c>
      <c r="F111" s="515">
        <f t="shared" si="0"/>
        <v>10670269.651785709</v>
      </c>
      <c r="G111" s="471">
        <f t="shared" si="1"/>
        <v>10834427.646428566</v>
      </c>
      <c r="H111" s="509">
        <f>+J97*G111+E111</f>
        <v>1522048.0615612227</v>
      </c>
      <c r="I111" s="516">
        <f>+J98*G111+E111</f>
        <v>1522048.0615612227</v>
      </c>
      <c r="J111" s="512">
        <f t="shared" si="2"/>
        <v>0</v>
      </c>
      <c r="K111" s="512"/>
      <c r="L111" s="517">
        <v>1743200</v>
      </c>
      <c r="M111" s="512">
        <f t="shared" si="3"/>
        <v>-221151.93843877735</v>
      </c>
      <c r="N111" s="517">
        <v>1743200</v>
      </c>
      <c r="O111" s="512">
        <f t="shared" si="4"/>
        <v>-221151.93843877735</v>
      </c>
      <c r="P111" s="512">
        <f t="shared" si="5"/>
        <v>0</v>
      </c>
      <c r="Q111" s="473"/>
    </row>
    <row r="112" spans="1:17">
      <c r="C112" s="508">
        <f>IF(D96="","-",+C111+1)</f>
        <v>2018</v>
      </c>
      <c r="D112" s="471">
        <f t="shared" si="6"/>
        <v>10670269.651785709</v>
      </c>
      <c r="E112" s="515">
        <f t="shared" si="7"/>
        <v>328315.98928571428</v>
      </c>
      <c r="F112" s="515">
        <f t="shared" si="0"/>
        <v>10341953.662499994</v>
      </c>
      <c r="G112" s="471">
        <f t="shared" si="1"/>
        <v>10506111.657142852</v>
      </c>
      <c r="H112" s="509">
        <f>+J97*G112+E112</f>
        <v>1485874.3624013586</v>
      </c>
      <c r="I112" s="516">
        <f>+J98*G112+E112</f>
        <v>1485874.3624013586</v>
      </c>
      <c r="J112" s="512">
        <f t="shared" si="2"/>
        <v>0</v>
      </c>
      <c r="K112" s="512"/>
      <c r="L112" s="517">
        <v>1501804</v>
      </c>
      <c r="M112" s="512">
        <f t="shared" si="3"/>
        <v>-15929.63759864145</v>
      </c>
      <c r="N112" s="517">
        <v>1501804</v>
      </c>
      <c r="O112" s="512">
        <f t="shared" si="4"/>
        <v>-15929.63759864145</v>
      </c>
      <c r="P112" s="512">
        <f t="shared" si="5"/>
        <v>0</v>
      </c>
      <c r="Q112" s="473"/>
    </row>
    <row r="113" spans="3:17">
      <c r="C113" s="508">
        <f>IF(D96="","-",+C112+1)</f>
        <v>2019</v>
      </c>
      <c r="D113" s="471">
        <f t="shared" si="6"/>
        <v>10341953.662499994</v>
      </c>
      <c r="E113" s="515">
        <f t="shared" si="7"/>
        <v>328315.98928571428</v>
      </c>
      <c r="F113" s="515">
        <f t="shared" si="0"/>
        <v>10013637.673214279</v>
      </c>
      <c r="G113" s="471">
        <f t="shared" si="1"/>
        <v>10177795.667857137</v>
      </c>
      <c r="H113" s="509">
        <f>+J97*G113+E113</f>
        <v>1449700.6632414947</v>
      </c>
      <c r="I113" s="516">
        <f>+J98*G113+E113</f>
        <v>1449700.6632414947</v>
      </c>
      <c r="J113" s="512">
        <f t="shared" si="2"/>
        <v>0</v>
      </c>
      <c r="K113" s="512"/>
      <c r="L113" s="517">
        <v>1444867</v>
      </c>
      <c r="M113" s="512">
        <f t="shared" si="3"/>
        <v>4833.6632414946798</v>
      </c>
      <c r="N113" s="517">
        <v>1444867</v>
      </c>
      <c r="O113" s="512">
        <f t="shared" si="4"/>
        <v>4833.6632414946798</v>
      </c>
      <c r="P113" s="512">
        <f t="shared" si="5"/>
        <v>0</v>
      </c>
      <c r="Q113" s="473"/>
    </row>
    <row r="114" spans="3:17">
      <c r="C114" s="508">
        <f>IF(D96="","-",+C113+1)</f>
        <v>2020</v>
      </c>
      <c r="D114" s="471">
        <f t="shared" si="6"/>
        <v>10013637.673214279</v>
      </c>
      <c r="E114" s="515">
        <f t="shared" si="7"/>
        <v>328315.98928571428</v>
      </c>
      <c r="F114" s="515">
        <f t="shared" si="0"/>
        <v>9685321.6839285642</v>
      </c>
      <c r="G114" s="471">
        <f t="shared" si="1"/>
        <v>9849479.6785714217</v>
      </c>
      <c r="H114" s="509">
        <f>+J97*G114+E114</f>
        <v>1413526.9640816308</v>
      </c>
      <c r="I114" s="516">
        <f>+J98*G114+E114</f>
        <v>1413526.9640816308</v>
      </c>
      <c r="J114" s="512">
        <f t="shared" si="2"/>
        <v>0</v>
      </c>
      <c r="K114" s="512"/>
      <c r="L114" s="517">
        <v>1375796.0682175215</v>
      </c>
      <c r="M114" s="512">
        <f t="shared" si="3"/>
        <v>37730.895864109276</v>
      </c>
      <c r="N114" s="517">
        <v>1375796.0682175215</v>
      </c>
      <c r="O114" s="512">
        <f t="shared" si="4"/>
        <v>37730.895864109276</v>
      </c>
      <c r="P114" s="512">
        <f t="shared" si="5"/>
        <v>0</v>
      </c>
      <c r="Q114" s="473"/>
    </row>
    <row r="115" spans="3:17">
      <c r="C115" s="508">
        <f>IF(D96="","-",+C114+1)</f>
        <v>2021</v>
      </c>
      <c r="D115" s="471">
        <f t="shared" si="6"/>
        <v>9685321.6839285642</v>
      </c>
      <c r="E115" s="515">
        <f t="shared" si="7"/>
        <v>328315.98928571428</v>
      </c>
      <c r="F115" s="515">
        <f t="shared" si="0"/>
        <v>9357005.6946428493</v>
      </c>
      <c r="G115" s="471">
        <f t="shared" si="1"/>
        <v>9521163.6892857067</v>
      </c>
      <c r="H115" s="509">
        <f>+J97*G115+E115</f>
        <v>1377353.2649217667</v>
      </c>
      <c r="I115" s="516">
        <f>+J98*G115+E115</f>
        <v>1377353.2649217667</v>
      </c>
      <c r="J115" s="512">
        <f t="shared" si="2"/>
        <v>0</v>
      </c>
      <c r="K115" s="512"/>
      <c r="L115" s="517">
        <v>1322365.9490553392</v>
      </c>
      <c r="M115" s="512">
        <f t="shared" si="3"/>
        <v>54987.315866427496</v>
      </c>
      <c r="N115" s="517">
        <v>1322365.9490553392</v>
      </c>
      <c r="O115" s="512">
        <f t="shared" si="4"/>
        <v>54987.315866427496</v>
      </c>
      <c r="P115" s="512">
        <f t="shared" si="5"/>
        <v>0</v>
      </c>
      <c r="Q115" s="473"/>
    </row>
    <row r="116" spans="3:17">
      <c r="C116" s="508">
        <f>IF(D96="","-",+C115+1)</f>
        <v>2022</v>
      </c>
      <c r="D116" s="471">
        <f t="shared" si="6"/>
        <v>9357005.6946428493</v>
      </c>
      <c r="E116" s="515">
        <f t="shared" si="7"/>
        <v>328315.98928571428</v>
      </c>
      <c r="F116" s="515">
        <f t="shared" si="0"/>
        <v>9028689.7053571343</v>
      </c>
      <c r="G116" s="471">
        <f t="shared" si="1"/>
        <v>9192847.6999999918</v>
      </c>
      <c r="H116" s="509">
        <f>+J97*G116+E116</f>
        <v>1341179.5657619028</v>
      </c>
      <c r="I116" s="516">
        <f>+J98*G116+E116</f>
        <v>1341179.5657619028</v>
      </c>
      <c r="J116" s="512">
        <f t="shared" si="2"/>
        <v>0</v>
      </c>
      <c r="K116" s="512"/>
      <c r="L116" s="517">
        <v>1296228.708087994</v>
      </c>
      <c r="M116" s="512">
        <f t="shared" si="3"/>
        <v>44950.857673908817</v>
      </c>
      <c r="N116" s="517">
        <v>1296228.708087994</v>
      </c>
      <c r="O116" s="512">
        <f t="shared" si="4"/>
        <v>44950.857673908817</v>
      </c>
      <c r="P116" s="512">
        <f t="shared" si="5"/>
        <v>0</v>
      </c>
      <c r="Q116" s="473"/>
    </row>
    <row r="117" spans="3:17">
      <c r="C117" s="508">
        <f>IF(D96="","-",+C116+1)</f>
        <v>2023</v>
      </c>
      <c r="D117" s="471">
        <f t="shared" si="6"/>
        <v>9028689.7053571343</v>
      </c>
      <c r="E117" s="515">
        <f t="shared" si="7"/>
        <v>328315.98928571428</v>
      </c>
      <c r="F117" s="515">
        <f t="shared" si="0"/>
        <v>8700373.7160714194</v>
      </c>
      <c r="G117" s="471">
        <f t="shared" si="1"/>
        <v>8864531.7107142769</v>
      </c>
      <c r="H117" s="509">
        <f>+J97*G117+E117</f>
        <v>1305005.8666020387</v>
      </c>
      <c r="I117" s="516">
        <f>+J98*G117+E117</f>
        <v>1305005.8666020387</v>
      </c>
      <c r="J117" s="512">
        <f t="shared" si="2"/>
        <v>0</v>
      </c>
      <c r="K117" s="512"/>
      <c r="L117" s="517">
        <v>1305900.1736671303</v>
      </c>
      <c r="M117" s="512">
        <f t="shared" si="3"/>
        <v>-894.30706509156153</v>
      </c>
      <c r="N117" s="517">
        <v>1305900.1736671303</v>
      </c>
      <c r="O117" s="512">
        <f t="shared" si="4"/>
        <v>-894.30706509156153</v>
      </c>
      <c r="P117" s="512">
        <f t="shared" si="5"/>
        <v>0</v>
      </c>
      <c r="Q117" s="473"/>
    </row>
    <row r="118" spans="3:17">
      <c r="C118" s="508">
        <f>IF(D96="","-",+C117+1)</f>
        <v>2024</v>
      </c>
      <c r="D118" s="471">
        <f t="shared" si="6"/>
        <v>8700373.7160714194</v>
      </c>
      <c r="E118" s="515">
        <f t="shared" si="7"/>
        <v>328315.98928571428</v>
      </c>
      <c r="F118" s="515">
        <f t="shared" si="0"/>
        <v>8372057.7267857054</v>
      </c>
      <c r="G118" s="471">
        <f t="shared" si="1"/>
        <v>8536215.721428562</v>
      </c>
      <c r="H118" s="509">
        <f>+J97*G118+E118</f>
        <v>1268832.1674421749</v>
      </c>
      <c r="I118" s="516">
        <f>+J98*G118+E118</f>
        <v>1268832.1674421749</v>
      </c>
      <c r="J118" s="512">
        <f t="shared" si="2"/>
        <v>0</v>
      </c>
      <c r="K118" s="512"/>
      <c r="L118" s="517">
        <v>1282842.6688506498</v>
      </c>
      <c r="M118" s="512">
        <f t="shared" si="3"/>
        <v>-14010.501408474986</v>
      </c>
      <c r="N118" s="517">
        <v>1282842.6688506498</v>
      </c>
      <c r="O118" s="512">
        <f t="shared" si="4"/>
        <v>-14010.501408474986</v>
      </c>
      <c r="P118" s="512">
        <f t="shared" si="5"/>
        <v>0</v>
      </c>
      <c r="Q118" s="473"/>
    </row>
    <row r="119" spans="3:17">
      <c r="C119" s="508">
        <f>IF(D96="","-",+C118+1)</f>
        <v>2025</v>
      </c>
      <c r="D119" s="471">
        <f t="shared" si="6"/>
        <v>8372057.7267857054</v>
      </c>
      <c r="E119" s="515">
        <f t="shared" si="7"/>
        <v>328315.98928571428</v>
      </c>
      <c r="F119" s="515">
        <f t="shared" si="0"/>
        <v>8043741.7374999914</v>
      </c>
      <c r="G119" s="471">
        <f t="shared" si="1"/>
        <v>8207899.7321428489</v>
      </c>
      <c r="H119" s="509">
        <f>+J97*G119+E119</f>
        <v>1232658.468282311</v>
      </c>
      <c r="I119" s="516">
        <f>+J98*G119+E119</f>
        <v>1232658.468282311</v>
      </c>
      <c r="J119" s="512">
        <f t="shared" si="2"/>
        <v>0</v>
      </c>
      <c r="K119" s="512"/>
      <c r="L119" s="517">
        <v>1245388.966179545</v>
      </c>
      <c r="M119" s="512">
        <f t="shared" si="3"/>
        <v>-12730.497897234047</v>
      </c>
      <c r="N119" s="517">
        <v>1245388.966179545</v>
      </c>
      <c r="O119" s="512">
        <f t="shared" si="4"/>
        <v>-12730.497897234047</v>
      </c>
      <c r="P119" s="512">
        <f t="shared" si="5"/>
        <v>0</v>
      </c>
      <c r="Q119" s="473"/>
    </row>
    <row r="120" spans="3:17">
      <c r="C120" s="508">
        <f>IF(D96="","-",+C119+1)</f>
        <v>2026</v>
      </c>
      <c r="D120" s="471">
        <f t="shared" si="6"/>
        <v>8043741.7374999914</v>
      </c>
      <c r="E120" s="515">
        <f t="shared" si="7"/>
        <v>328315.98928571428</v>
      </c>
      <c r="F120" s="515">
        <f t="shared" si="0"/>
        <v>7715425.7482142774</v>
      </c>
      <c r="G120" s="471">
        <f t="shared" si="1"/>
        <v>7879583.742857134</v>
      </c>
      <c r="H120" s="509">
        <f>+J97*G120+E120</f>
        <v>1196484.7691224471</v>
      </c>
      <c r="I120" s="516">
        <f>+J98*G120+E120</f>
        <v>1196484.7691224471</v>
      </c>
      <c r="J120" s="512">
        <f t="shared" si="2"/>
        <v>0</v>
      </c>
      <c r="K120" s="512"/>
      <c r="L120" s="517"/>
      <c r="M120" s="512">
        <f t="shared" si="3"/>
        <v>0</v>
      </c>
      <c r="N120" s="517"/>
      <c r="O120" s="512">
        <f t="shared" si="4"/>
        <v>0</v>
      </c>
      <c r="P120" s="512">
        <f t="shared" si="5"/>
        <v>0</v>
      </c>
      <c r="Q120" s="473"/>
    </row>
    <row r="121" spans="3:17">
      <c r="C121" s="508">
        <f>IF(D96="","-",+C120+1)</f>
        <v>2027</v>
      </c>
      <c r="D121" s="471">
        <f t="shared" si="6"/>
        <v>7715425.7482142774</v>
      </c>
      <c r="E121" s="515">
        <f t="shared" si="7"/>
        <v>328315.98928571428</v>
      </c>
      <c r="F121" s="515">
        <f t="shared" si="0"/>
        <v>7387109.7589285634</v>
      </c>
      <c r="G121" s="471">
        <f t="shared" si="1"/>
        <v>7551267.7535714209</v>
      </c>
      <c r="H121" s="509">
        <f>+J97*G121+E121</f>
        <v>1160311.0699625832</v>
      </c>
      <c r="I121" s="516">
        <f>+J98*G121+E121</f>
        <v>1160311.0699625832</v>
      </c>
      <c r="J121" s="512">
        <f t="shared" si="2"/>
        <v>0</v>
      </c>
      <c r="K121" s="512"/>
      <c r="L121" s="517"/>
      <c r="M121" s="512">
        <f t="shared" si="3"/>
        <v>0</v>
      </c>
      <c r="N121" s="517"/>
      <c r="O121" s="512">
        <f t="shared" si="4"/>
        <v>0</v>
      </c>
      <c r="P121" s="512">
        <f t="shared" si="5"/>
        <v>0</v>
      </c>
      <c r="Q121" s="473"/>
    </row>
    <row r="122" spans="3:17">
      <c r="C122" s="508">
        <f>IF(D96="","-",+C121+1)</f>
        <v>2028</v>
      </c>
      <c r="D122" s="471">
        <f t="shared" si="6"/>
        <v>7387109.7589285634</v>
      </c>
      <c r="E122" s="515">
        <f t="shared" si="7"/>
        <v>328315.98928571428</v>
      </c>
      <c r="F122" s="515">
        <f t="shared" si="0"/>
        <v>7058793.7696428495</v>
      </c>
      <c r="G122" s="471">
        <f t="shared" si="1"/>
        <v>7222951.764285706</v>
      </c>
      <c r="H122" s="509">
        <f>+J97*G122+E122</f>
        <v>1124137.3708027194</v>
      </c>
      <c r="I122" s="516">
        <f>+J98*G122+E122</f>
        <v>1124137.3708027194</v>
      </c>
      <c r="J122" s="512">
        <f t="shared" si="2"/>
        <v>0</v>
      </c>
      <c r="K122" s="512"/>
      <c r="L122" s="517"/>
      <c r="M122" s="512">
        <f t="shared" si="3"/>
        <v>0</v>
      </c>
      <c r="N122" s="517"/>
      <c r="O122" s="512">
        <f t="shared" si="4"/>
        <v>0</v>
      </c>
      <c r="P122" s="512">
        <f t="shared" si="5"/>
        <v>0</v>
      </c>
      <c r="Q122" s="473"/>
    </row>
    <row r="123" spans="3:17">
      <c r="C123" s="508">
        <f>IF(D96="","-",+C122+1)</f>
        <v>2029</v>
      </c>
      <c r="D123" s="471">
        <f t="shared" si="6"/>
        <v>7058793.7696428495</v>
      </c>
      <c r="E123" s="515">
        <f t="shared" si="7"/>
        <v>328315.98928571428</v>
      </c>
      <c r="F123" s="515">
        <f t="shared" si="0"/>
        <v>6730477.7803571355</v>
      </c>
      <c r="G123" s="471">
        <f t="shared" si="1"/>
        <v>6894635.7749999929</v>
      </c>
      <c r="H123" s="509">
        <f>+J97*G123+E123</f>
        <v>1087963.6716428555</v>
      </c>
      <c r="I123" s="516">
        <f>+J98*G123+E123</f>
        <v>1087963.6716428555</v>
      </c>
      <c r="J123" s="512">
        <f t="shared" si="2"/>
        <v>0</v>
      </c>
      <c r="K123" s="512"/>
      <c r="L123" s="517"/>
      <c r="M123" s="512">
        <f t="shared" si="3"/>
        <v>0</v>
      </c>
      <c r="N123" s="517"/>
      <c r="O123" s="512">
        <f t="shared" si="4"/>
        <v>0</v>
      </c>
      <c r="P123" s="512">
        <f t="shared" si="5"/>
        <v>0</v>
      </c>
      <c r="Q123" s="473"/>
    </row>
    <row r="124" spans="3:17">
      <c r="C124" s="508">
        <f>IF(D96="","-",+C123+1)</f>
        <v>2030</v>
      </c>
      <c r="D124" s="471">
        <f t="shared" si="6"/>
        <v>6730477.7803571355</v>
      </c>
      <c r="E124" s="515">
        <f t="shared" si="7"/>
        <v>328315.98928571428</v>
      </c>
      <c r="F124" s="515">
        <f t="shared" si="0"/>
        <v>6402161.7910714215</v>
      </c>
      <c r="G124" s="471">
        <f t="shared" si="1"/>
        <v>6566319.785714278</v>
      </c>
      <c r="H124" s="509">
        <f>+J97*G124+E124</f>
        <v>1051789.9724829916</v>
      </c>
      <c r="I124" s="516">
        <f>+J98*G124+E124</f>
        <v>1051789.9724829916</v>
      </c>
      <c r="J124" s="512">
        <f t="shared" si="2"/>
        <v>0</v>
      </c>
      <c r="K124" s="512"/>
      <c r="L124" s="517"/>
      <c r="M124" s="512">
        <f t="shared" si="3"/>
        <v>0</v>
      </c>
      <c r="N124" s="517"/>
      <c r="O124" s="512">
        <f t="shared" si="4"/>
        <v>0</v>
      </c>
      <c r="P124" s="512">
        <f t="shared" si="5"/>
        <v>0</v>
      </c>
      <c r="Q124" s="473"/>
    </row>
    <row r="125" spans="3:17">
      <c r="C125" s="508">
        <f>IF(D96="","-",+C124+1)</f>
        <v>2031</v>
      </c>
      <c r="D125" s="471">
        <f t="shared" si="6"/>
        <v>6402161.7910714215</v>
      </c>
      <c r="E125" s="515">
        <f t="shared" si="7"/>
        <v>328315.98928571428</v>
      </c>
      <c r="F125" s="515">
        <f t="shared" si="0"/>
        <v>6073845.8017857075</v>
      </c>
      <c r="G125" s="471">
        <f t="shared" si="1"/>
        <v>6238003.7964285649</v>
      </c>
      <c r="H125" s="509">
        <f>+J97*G125+E125</f>
        <v>1015616.2733231278</v>
      </c>
      <c r="I125" s="516">
        <f>+J98*G125+E125</f>
        <v>1015616.2733231278</v>
      </c>
      <c r="J125" s="512">
        <f t="shared" si="2"/>
        <v>0</v>
      </c>
      <c r="K125" s="512"/>
      <c r="L125" s="517"/>
      <c r="M125" s="512">
        <f t="shared" si="3"/>
        <v>0</v>
      </c>
      <c r="N125" s="517"/>
      <c r="O125" s="512">
        <f t="shared" si="4"/>
        <v>0</v>
      </c>
      <c r="P125" s="512">
        <f t="shared" si="5"/>
        <v>0</v>
      </c>
      <c r="Q125" s="473"/>
    </row>
    <row r="126" spans="3:17">
      <c r="C126" s="508">
        <f>IF(D96="","-",+C125+1)</f>
        <v>2032</v>
      </c>
      <c r="D126" s="471">
        <f t="shared" si="6"/>
        <v>6073845.8017857075</v>
      </c>
      <c r="E126" s="515">
        <f t="shared" si="7"/>
        <v>328315.98928571428</v>
      </c>
      <c r="F126" s="515">
        <f t="shared" si="0"/>
        <v>5745529.8124999935</v>
      </c>
      <c r="G126" s="471">
        <f t="shared" si="1"/>
        <v>5909687.80714285</v>
      </c>
      <c r="H126" s="509">
        <f>+J97*G126+E126</f>
        <v>979442.5741632639</v>
      </c>
      <c r="I126" s="516">
        <f>+J98*G126+E126</f>
        <v>979442.5741632639</v>
      </c>
      <c r="J126" s="512">
        <f t="shared" si="2"/>
        <v>0</v>
      </c>
      <c r="K126" s="512"/>
      <c r="L126" s="517"/>
      <c r="M126" s="512">
        <f t="shared" si="3"/>
        <v>0</v>
      </c>
      <c r="N126" s="517"/>
      <c r="O126" s="512">
        <f t="shared" si="4"/>
        <v>0</v>
      </c>
      <c r="P126" s="512">
        <f t="shared" si="5"/>
        <v>0</v>
      </c>
      <c r="Q126" s="473"/>
    </row>
    <row r="127" spans="3:17">
      <c r="C127" s="508">
        <f>IF(D96="","-",+C126+1)</f>
        <v>2033</v>
      </c>
      <c r="D127" s="471">
        <f t="shared" si="6"/>
        <v>5745529.8124999935</v>
      </c>
      <c r="E127" s="515">
        <f t="shared" si="7"/>
        <v>328315.98928571428</v>
      </c>
      <c r="F127" s="515">
        <f t="shared" si="0"/>
        <v>5417213.8232142795</v>
      </c>
      <c r="G127" s="471">
        <f t="shared" si="1"/>
        <v>5581371.8178571369</v>
      </c>
      <c r="H127" s="509">
        <f>+J97*G127+E127</f>
        <v>943268.87500340003</v>
      </c>
      <c r="I127" s="516">
        <f>+J98*G127+E127</f>
        <v>943268.87500340003</v>
      </c>
      <c r="J127" s="512">
        <f t="shared" si="2"/>
        <v>0</v>
      </c>
      <c r="K127" s="512"/>
      <c r="L127" s="517"/>
      <c r="M127" s="512">
        <f t="shared" si="3"/>
        <v>0</v>
      </c>
      <c r="N127" s="517"/>
      <c r="O127" s="512">
        <f t="shared" si="4"/>
        <v>0</v>
      </c>
      <c r="P127" s="512">
        <f t="shared" si="5"/>
        <v>0</v>
      </c>
      <c r="Q127" s="473"/>
    </row>
    <row r="128" spans="3:17">
      <c r="C128" s="508">
        <f>IF(D96="","-",+C127+1)</f>
        <v>2034</v>
      </c>
      <c r="D128" s="471">
        <f t="shared" si="6"/>
        <v>5417213.8232142795</v>
      </c>
      <c r="E128" s="515">
        <f t="shared" si="7"/>
        <v>328315.98928571428</v>
      </c>
      <c r="F128" s="515">
        <f t="shared" si="0"/>
        <v>5088897.8339285655</v>
      </c>
      <c r="G128" s="471">
        <f t="shared" si="1"/>
        <v>5253055.828571422</v>
      </c>
      <c r="H128" s="509">
        <f>+J97*G128+E128</f>
        <v>907095.17584353616</v>
      </c>
      <c r="I128" s="516">
        <f>+J98*G128+E128</f>
        <v>907095.17584353616</v>
      </c>
      <c r="J128" s="512">
        <f t="shared" si="2"/>
        <v>0</v>
      </c>
      <c r="K128" s="512"/>
      <c r="L128" s="517"/>
      <c r="M128" s="512">
        <f t="shared" si="3"/>
        <v>0</v>
      </c>
      <c r="N128" s="517"/>
      <c r="O128" s="512">
        <f t="shared" si="4"/>
        <v>0</v>
      </c>
      <c r="P128" s="512">
        <f t="shared" si="5"/>
        <v>0</v>
      </c>
      <c r="Q128" s="473"/>
    </row>
    <row r="129" spans="3:17">
      <c r="C129" s="508">
        <f>IF(D96="","-",+C128+1)</f>
        <v>2035</v>
      </c>
      <c r="D129" s="471">
        <f t="shared" si="6"/>
        <v>5088897.8339285655</v>
      </c>
      <c r="E129" s="515">
        <f t="shared" si="7"/>
        <v>328315.98928571428</v>
      </c>
      <c r="F129" s="515">
        <f t="shared" si="0"/>
        <v>4760581.8446428515</v>
      </c>
      <c r="G129" s="471">
        <f t="shared" si="1"/>
        <v>4924739.839285709</v>
      </c>
      <c r="H129" s="509">
        <f>+J97*G129+E129</f>
        <v>870921.47668367228</v>
      </c>
      <c r="I129" s="516">
        <f>+J98*G129+E129</f>
        <v>870921.47668367228</v>
      </c>
      <c r="J129" s="512">
        <f t="shared" si="2"/>
        <v>0</v>
      </c>
      <c r="K129" s="512"/>
      <c r="L129" s="517"/>
      <c r="M129" s="512">
        <f t="shared" si="3"/>
        <v>0</v>
      </c>
      <c r="N129" s="517"/>
      <c r="O129" s="512">
        <f t="shared" si="4"/>
        <v>0</v>
      </c>
      <c r="P129" s="512">
        <f t="shared" si="5"/>
        <v>0</v>
      </c>
      <c r="Q129" s="473"/>
    </row>
    <row r="130" spans="3:17">
      <c r="C130" s="508">
        <f>IF(D96="","-",+C129+1)</f>
        <v>2036</v>
      </c>
      <c r="D130" s="471">
        <f t="shared" si="6"/>
        <v>4760581.8446428515</v>
      </c>
      <c r="E130" s="515">
        <f t="shared" si="7"/>
        <v>328315.98928571428</v>
      </c>
      <c r="F130" s="515">
        <f t="shared" si="0"/>
        <v>4432265.8553571375</v>
      </c>
      <c r="G130" s="471">
        <f t="shared" si="1"/>
        <v>4596423.849999994</v>
      </c>
      <c r="H130" s="509">
        <f>+J97*G130+E130</f>
        <v>834747.77752380841</v>
      </c>
      <c r="I130" s="516">
        <f>+J98*G130+E130</f>
        <v>834747.77752380841</v>
      </c>
      <c r="J130" s="512">
        <f t="shared" si="2"/>
        <v>0</v>
      </c>
      <c r="K130" s="512"/>
      <c r="L130" s="517"/>
      <c r="M130" s="512">
        <f t="shared" si="3"/>
        <v>0</v>
      </c>
      <c r="N130" s="517"/>
      <c r="O130" s="512">
        <f t="shared" si="4"/>
        <v>0</v>
      </c>
      <c r="P130" s="512">
        <f t="shared" si="5"/>
        <v>0</v>
      </c>
      <c r="Q130" s="473"/>
    </row>
    <row r="131" spans="3:17">
      <c r="C131" s="508">
        <f>IF(D96="","-",+C130+1)</f>
        <v>2037</v>
      </c>
      <c r="D131" s="471">
        <f t="shared" si="6"/>
        <v>4432265.8553571375</v>
      </c>
      <c r="E131" s="515">
        <f t="shared" si="7"/>
        <v>328315.98928571428</v>
      </c>
      <c r="F131" s="515">
        <f t="shared" si="0"/>
        <v>4103949.8660714231</v>
      </c>
      <c r="G131" s="471">
        <f t="shared" si="1"/>
        <v>4268107.86071428</v>
      </c>
      <c r="H131" s="509">
        <f>+J97*G131+E131</f>
        <v>798574.07836394454</v>
      </c>
      <c r="I131" s="516">
        <f>+J98*G131+E131</f>
        <v>798574.07836394454</v>
      </c>
      <c r="J131" s="512">
        <f t="shared" si="2"/>
        <v>0</v>
      </c>
      <c r="K131" s="512"/>
      <c r="L131" s="517"/>
      <c r="M131" s="512">
        <f t="shared" si="3"/>
        <v>0</v>
      </c>
      <c r="N131" s="517"/>
      <c r="O131" s="512">
        <f t="shared" si="4"/>
        <v>0</v>
      </c>
      <c r="P131" s="512">
        <f t="shared" si="5"/>
        <v>0</v>
      </c>
      <c r="Q131" s="473"/>
    </row>
    <row r="132" spans="3:17">
      <c r="C132" s="508">
        <f>IF(D96="","-",+C131+1)</f>
        <v>2038</v>
      </c>
      <c r="D132" s="471">
        <f t="shared" si="6"/>
        <v>4103949.8660714231</v>
      </c>
      <c r="E132" s="515">
        <f t="shared" si="7"/>
        <v>328315.98928571428</v>
      </c>
      <c r="F132" s="515">
        <f t="shared" si="0"/>
        <v>3775633.8767857086</v>
      </c>
      <c r="G132" s="471">
        <f t="shared" si="1"/>
        <v>3939791.8714285661</v>
      </c>
      <c r="H132" s="509">
        <f>+J97*G132+E132</f>
        <v>762400.37920408067</v>
      </c>
      <c r="I132" s="516">
        <f>+J98*G132+E132</f>
        <v>762400.37920408067</v>
      </c>
      <c r="J132" s="512">
        <f t="shared" si="2"/>
        <v>0</v>
      </c>
      <c r="K132" s="512"/>
      <c r="L132" s="517"/>
      <c r="M132" s="512">
        <f t="shared" si="3"/>
        <v>0</v>
      </c>
      <c r="N132" s="517"/>
      <c r="O132" s="512">
        <f t="shared" si="4"/>
        <v>0</v>
      </c>
      <c r="P132" s="512">
        <f t="shared" si="5"/>
        <v>0</v>
      </c>
      <c r="Q132" s="473"/>
    </row>
    <row r="133" spans="3:17">
      <c r="C133" s="508">
        <f>IF(D96="","-",+C132+1)</f>
        <v>2039</v>
      </c>
      <c r="D133" s="471">
        <f t="shared" si="6"/>
        <v>3775633.8767857086</v>
      </c>
      <c r="E133" s="515">
        <f t="shared" si="7"/>
        <v>328315.98928571428</v>
      </c>
      <c r="F133" s="515">
        <f t="shared" si="0"/>
        <v>3447317.8874999941</v>
      </c>
      <c r="G133" s="471">
        <f t="shared" si="1"/>
        <v>3611475.8821428511</v>
      </c>
      <c r="H133" s="509">
        <f>+J97*G133+E133</f>
        <v>726226.68004421657</v>
      </c>
      <c r="I133" s="516">
        <f>+J98*G133+E133</f>
        <v>726226.68004421657</v>
      </c>
      <c r="J133" s="512">
        <f t="shared" si="2"/>
        <v>0</v>
      </c>
      <c r="K133" s="512"/>
      <c r="L133" s="517"/>
      <c r="M133" s="512">
        <f t="shared" si="3"/>
        <v>0</v>
      </c>
      <c r="N133" s="517"/>
      <c r="O133" s="512">
        <f t="shared" si="4"/>
        <v>0</v>
      </c>
      <c r="P133" s="512">
        <f t="shared" si="5"/>
        <v>0</v>
      </c>
      <c r="Q133" s="473"/>
    </row>
    <row r="134" spans="3:17">
      <c r="C134" s="508">
        <f>IF(D96="","-",+C133+1)</f>
        <v>2040</v>
      </c>
      <c r="D134" s="471">
        <f t="shared" si="6"/>
        <v>3447317.8874999941</v>
      </c>
      <c r="E134" s="515">
        <f t="shared" si="7"/>
        <v>328315.98928571428</v>
      </c>
      <c r="F134" s="515">
        <f t="shared" ref="F134:F161" si="8">+D134-E134</f>
        <v>3119001.8982142797</v>
      </c>
      <c r="G134" s="471">
        <f t="shared" ref="G134:G161" si="9">+(D134+F134)/2</f>
        <v>3283159.8928571371</v>
      </c>
      <c r="H134" s="509">
        <f>+J97*G134+E134</f>
        <v>690052.9808843527</v>
      </c>
      <c r="I134" s="516">
        <f>+J98*G134+E134</f>
        <v>690052.9808843527</v>
      </c>
      <c r="J134" s="512">
        <f t="shared" ref="J134:J161" si="10">+I134-H134</f>
        <v>0</v>
      </c>
      <c r="K134" s="512"/>
      <c r="L134" s="517"/>
      <c r="M134" s="512">
        <f t="shared" ref="M134:M161" si="11">IF(L134&lt;&gt;0,+H134-L134,0)</f>
        <v>0</v>
      </c>
      <c r="N134" s="517"/>
      <c r="O134" s="512">
        <f t="shared" ref="O134:O161" si="12">IF(N134&lt;&gt;0,+I134-N134,0)</f>
        <v>0</v>
      </c>
      <c r="P134" s="512">
        <f t="shared" ref="P134:P161" si="13">+O134-M134</f>
        <v>0</v>
      </c>
      <c r="Q134" s="473"/>
    </row>
    <row r="135" spans="3:17">
      <c r="C135" s="508">
        <f>IF(D96="","-",+C134+1)</f>
        <v>2041</v>
      </c>
      <c r="D135" s="471">
        <f t="shared" ref="D135:D161" si="14">F134</f>
        <v>3119001.8982142797</v>
      </c>
      <c r="E135" s="515">
        <f t="shared" ref="E135:E161" si="15">IF(D135&gt;$J$99,$J$99,D135)</f>
        <v>328315.98928571428</v>
      </c>
      <c r="F135" s="515">
        <f t="shared" si="8"/>
        <v>2790685.9089285652</v>
      </c>
      <c r="G135" s="471">
        <f t="shared" si="9"/>
        <v>2954843.9035714222</v>
      </c>
      <c r="H135" s="509">
        <f>+J97*G135+E135</f>
        <v>653879.28172448883</v>
      </c>
      <c r="I135" s="516">
        <f>+J98*G135+E135</f>
        <v>653879.28172448883</v>
      </c>
      <c r="J135" s="512">
        <f t="shared" si="10"/>
        <v>0</v>
      </c>
      <c r="K135" s="512"/>
      <c r="L135" s="517"/>
      <c r="M135" s="512">
        <f t="shared" si="11"/>
        <v>0</v>
      </c>
      <c r="N135" s="517"/>
      <c r="O135" s="512">
        <f t="shared" si="12"/>
        <v>0</v>
      </c>
      <c r="P135" s="512">
        <f t="shared" si="13"/>
        <v>0</v>
      </c>
      <c r="Q135" s="473"/>
    </row>
    <row r="136" spans="3:17">
      <c r="C136" s="508">
        <f>IF(D96="","-",+C135+1)</f>
        <v>2042</v>
      </c>
      <c r="D136" s="471">
        <f t="shared" si="14"/>
        <v>2790685.9089285652</v>
      </c>
      <c r="E136" s="515">
        <f t="shared" si="15"/>
        <v>328315.98928571428</v>
      </c>
      <c r="F136" s="515">
        <f t="shared" si="8"/>
        <v>2462369.9196428508</v>
      </c>
      <c r="G136" s="471">
        <f t="shared" si="9"/>
        <v>2626527.9142857082</v>
      </c>
      <c r="H136" s="509">
        <f>+J97*G136+E136</f>
        <v>617705.58256462496</v>
      </c>
      <c r="I136" s="516">
        <f>+J98*G136+E136</f>
        <v>617705.58256462496</v>
      </c>
      <c r="J136" s="512">
        <f t="shared" si="10"/>
        <v>0</v>
      </c>
      <c r="K136" s="512"/>
      <c r="L136" s="517"/>
      <c r="M136" s="512">
        <f t="shared" si="11"/>
        <v>0</v>
      </c>
      <c r="N136" s="517"/>
      <c r="O136" s="512">
        <f t="shared" si="12"/>
        <v>0</v>
      </c>
      <c r="P136" s="512">
        <f t="shared" si="13"/>
        <v>0</v>
      </c>
      <c r="Q136" s="473"/>
    </row>
    <row r="137" spans="3:17">
      <c r="C137" s="508">
        <f>IF(D96="","-",+C136+1)</f>
        <v>2043</v>
      </c>
      <c r="D137" s="471">
        <f t="shared" si="14"/>
        <v>2462369.9196428508</v>
      </c>
      <c r="E137" s="515">
        <f t="shared" si="15"/>
        <v>328315.98928571428</v>
      </c>
      <c r="F137" s="515">
        <f t="shared" si="8"/>
        <v>2134053.9303571363</v>
      </c>
      <c r="G137" s="471">
        <f t="shared" si="9"/>
        <v>2298211.9249999933</v>
      </c>
      <c r="H137" s="509">
        <f>+J97*G137+E137</f>
        <v>581531.88340476085</v>
      </c>
      <c r="I137" s="516">
        <f>+J98*G137+E137</f>
        <v>581531.88340476085</v>
      </c>
      <c r="J137" s="512">
        <f t="shared" si="10"/>
        <v>0</v>
      </c>
      <c r="K137" s="512"/>
      <c r="L137" s="517"/>
      <c r="M137" s="512">
        <f t="shared" si="11"/>
        <v>0</v>
      </c>
      <c r="N137" s="517"/>
      <c r="O137" s="512">
        <f t="shared" si="12"/>
        <v>0</v>
      </c>
      <c r="P137" s="512">
        <f t="shared" si="13"/>
        <v>0</v>
      </c>
      <c r="Q137" s="473"/>
    </row>
    <row r="138" spans="3:17">
      <c r="C138" s="508">
        <f>IF(D96="","-",+C137+1)</f>
        <v>2044</v>
      </c>
      <c r="D138" s="471">
        <f t="shared" si="14"/>
        <v>2134053.9303571363</v>
      </c>
      <c r="E138" s="515">
        <f t="shared" si="15"/>
        <v>328315.98928571428</v>
      </c>
      <c r="F138" s="515">
        <f t="shared" si="8"/>
        <v>1805737.9410714221</v>
      </c>
      <c r="G138" s="471">
        <f t="shared" si="9"/>
        <v>1969895.9357142793</v>
      </c>
      <c r="H138" s="509">
        <f>+J97*G138+E138</f>
        <v>545358.18424489698</v>
      </c>
      <c r="I138" s="516">
        <f>+J98*G138+E138</f>
        <v>545358.18424489698</v>
      </c>
      <c r="J138" s="512">
        <f t="shared" si="10"/>
        <v>0</v>
      </c>
      <c r="K138" s="512"/>
      <c r="L138" s="517"/>
      <c r="M138" s="512">
        <f t="shared" si="11"/>
        <v>0</v>
      </c>
      <c r="N138" s="517"/>
      <c r="O138" s="512">
        <f t="shared" si="12"/>
        <v>0</v>
      </c>
      <c r="P138" s="512">
        <f t="shared" si="13"/>
        <v>0</v>
      </c>
      <c r="Q138" s="473"/>
    </row>
    <row r="139" spans="3:17">
      <c r="C139" s="508">
        <f>IF(D96="","-",+C138+1)</f>
        <v>2045</v>
      </c>
      <c r="D139" s="471">
        <f t="shared" si="14"/>
        <v>1805737.9410714221</v>
      </c>
      <c r="E139" s="515">
        <f t="shared" si="15"/>
        <v>328315.98928571428</v>
      </c>
      <c r="F139" s="515">
        <f t="shared" si="8"/>
        <v>1477421.9517857078</v>
      </c>
      <c r="G139" s="471">
        <f t="shared" si="9"/>
        <v>1641579.9464285648</v>
      </c>
      <c r="H139" s="509">
        <f>+J97*G139+E139</f>
        <v>509184.48508503311</v>
      </c>
      <c r="I139" s="516">
        <f>+J98*G139+E139</f>
        <v>509184.48508503311</v>
      </c>
      <c r="J139" s="512">
        <f t="shared" si="10"/>
        <v>0</v>
      </c>
      <c r="K139" s="512"/>
      <c r="L139" s="517"/>
      <c r="M139" s="512">
        <f t="shared" si="11"/>
        <v>0</v>
      </c>
      <c r="N139" s="517"/>
      <c r="O139" s="512">
        <f t="shared" si="12"/>
        <v>0</v>
      </c>
      <c r="P139" s="512">
        <f t="shared" si="13"/>
        <v>0</v>
      </c>
      <c r="Q139" s="473"/>
    </row>
    <row r="140" spans="3:17">
      <c r="C140" s="508">
        <f>IF(D96="","-",+C139+1)</f>
        <v>2046</v>
      </c>
      <c r="D140" s="471">
        <f t="shared" si="14"/>
        <v>1477421.9517857078</v>
      </c>
      <c r="E140" s="515">
        <f t="shared" si="15"/>
        <v>328315.98928571428</v>
      </c>
      <c r="F140" s="515">
        <f t="shared" si="8"/>
        <v>1149105.9624999936</v>
      </c>
      <c r="G140" s="471">
        <f t="shared" si="9"/>
        <v>1313263.9571428508</v>
      </c>
      <c r="H140" s="509">
        <f>+J97*G140+E140</f>
        <v>473010.78592516924</v>
      </c>
      <c r="I140" s="516">
        <f>+J98*G140+E140</f>
        <v>473010.78592516924</v>
      </c>
      <c r="J140" s="512">
        <f t="shared" si="10"/>
        <v>0</v>
      </c>
      <c r="K140" s="512"/>
      <c r="L140" s="517"/>
      <c r="M140" s="512">
        <f t="shared" si="11"/>
        <v>0</v>
      </c>
      <c r="N140" s="517"/>
      <c r="O140" s="512">
        <f t="shared" si="12"/>
        <v>0</v>
      </c>
      <c r="P140" s="512">
        <f t="shared" si="13"/>
        <v>0</v>
      </c>
      <c r="Q140" s="473"/>
    </row>
    <row r="141" spans="3:17">
      <c r="C141" s="508">
        <f>IF(D96="","-",+C140+1)</f>
        <v>2047</v>
      </c>
      <c r="D141" s="471">
        <f t="shared" si="14"/>
        <v>1149105.9624999936</v>
      </c>
      <c r="E141" s="515">
        <f t="shared" si="15"/>
        <v>328315.98928571428</v>
      </c>
      <c r="F141" s="515">
        <f t="shared" si="8"/>
        <v>820789.97321427939</v>
      </c>
      <c r="G141" s="471">
        <f t="shared" si="9"/>
        <v>984947.96785713651</v>
      </c>
      <c r="H141" s="509">
        <f>+J97*G141+E141</f>
        <v>436837.08676530531</v>
      </c>
      <c r="I141" s="516">
        <f>+J98*G141+E141</f>
        <v>436837.08676530531</v>
      </c>
      <c r="J141" s="512">
        <f t="shared" si="10"/>
        <v>0</v>
      </c>
      <c r="K141" s="512"/>
      <c r="L141" s="517"/>
      <c r="M141" s="512">
        <f t="shared" si="11"/>
        <v>0</v>
      </c>
      <c r="N141" s="517"/>
      <c r="O141" s="512">
        <f t="shared" si="12"/>
        <v>0</v>
      </c>
      <c r="P141" s="512">
        <f t="shared" si="13"/>
        <v>0</v>
      </c>
      <c r="Q141" s="473"/>
    </row>
    <row r="142" spans="3:17">
      <c r="C142" s="508">
        <f>IF(D96="","-",+C141+1)</f>
        <v>2048</v>
      </c>
      <c r="D142" s="471">
        <f t="shared" si="14"/>
        <v>820789.97321427939</v>
      </c>
      <c r="E142" s="515">
        <f t="shared" si="15"/>
        <v>328315.98928571428</v>
      </c>
      <c r="F142" s="515">
        <f t="shared" si="8"/>
        <v>492473.98392856511</v>
      </c>
      <c r="G142" s="471">
        <f t="shared" si="9"/>
        <v>656631.97857142228</v>
      </c>
      <c r="H142" s="509">
        <f>+J97*G142+E142</f>
        <v>400663.38760544138</v>
      </c>
      <c r="I142" s="516">
        <f>+J98*G142+E142</f>
        <v>400663.38760544138</v>
      </c>
      <c r="J142" s="512">
        <f t="shared" si="10"/>
        <v>0</v>
      </c>
      <c r="K142" s="512"/>
      <c r="L142" s="517"/>
      <c r="M142" s="512">
        <f t="shared" si="11"/>
        <v>0</v>
      </c>
      <c r="N142" s="517"/>
      <c r="O142" s="512">
        <f t="shared" si="12"/>
        <v>0</v>
      </c>
      <c r="P142" s="512">
        <f t="shared" si="13"/>
        <v>0</v>
      </c>
      <c r="Q142" s="473"/>
    </row>
    <row r="143" spans="3:17">
      <c r="C143" s="508">
        <f>IF(D96="","-",+C142+1)</f>
        <v>2049</v>
      </c>
      <c r="D143" s="471">
        <f t="shared" si="14"/>
        <v>492473.98392856511</v>
      </c>
      <c r="E143" s="515">
        <f t="shared" si="15"/>
        <v>328315.98928571428</v>
      </c>
      <c r="F143" s="515">
        <f t="shared" si="8"/>
        <v>164157.99464285083</v>
      </c>
      <c r="G143" s="471">
        <f t="shared" si="9"/>
        <v>328315.98928570794</v>
      </c>
      <c r="H143" s="509">
        <f>+J97*G143+E143</f>
        <v>364489.68844557751</v>
      </c>
      <c r="I143" s="516">
        <f>+J98*G143+E143</f>
        <v>364489.68844557751</v>
      </c>
      <c r="J143" s="512">
        <f t="shared" si="10"/>
        <v>0</v>
      </c>
      <c r="K143" s="512"/>
      <c r="L143" s="517"/>
      <c r="M143" s="512">
        <f t="shared" si="11"/>
        <v>0</v>
      </c>
      <c r="N143" s="517"/>
      <c r="O143" s="512">
        <f t="shared" si="12"/>
        <v>0</v>
      </c>
      <c r="P143" s="512">
        <f t="shared" si="13"/>
        <v>0</v>
      </c>
      <c r="Q143" s="473"/>
    </row>
    <row r="144" spans="3:17">
      <c r="C144" s="508">
        <f>IF(D96="","-",+C143+1)</f>
        <v>2050</v>
      </c>
      <c r="D144" s="471">
        <f t="shared" si="14"/>
        <v>164157.99464285083</v>
      </c>
      <c r="E144" s="515">
        <f t="shared" si="15"/>
        <v>164157.99464285083</v>
      </c>
      <c r="F144" s="515">
        <f t="shared" si="8"/>
        <v>0</v>
      </c>
      <c r="G144" s="471">
        <f t="shared" si="9"/>
        <v>82078.997321425413</v>
      </c>
      <c r="H144" s="509">
        <f>+J97*G144+E144</f>
        <v>173201.41943281644</v>
      </c>
      <c r="I144" s="516">
        <f>+J98*G144+E144</f>
        <v>173201.41943281644</v>
      </c>
      <c r="J144" s="512">
        <f t="shared" si="10"/>
        <v>0</v>
      </c>
      <c r="K144" s="512"/>
      <c r="L144" s="517"/>
      <c r="M144" s="512">
        <f t="shared" si="11"/>
        <v>0</v>
      </c>
      <c r="N144" s="517"/>
      <c r="O144" s="512">
        <f t="shared" si="12"/>
        <v>0</v>
      </c>
      <c r="P144" s="512">
        <f t="shared" si="13"/>
        <v>0</v>
      </c>
      <c r="Q144" s="473"/>
    </row>
    <row r="145" spans="3:17">
      <c r="C145" s="508">
        <f>IF(D96="","-",+C144+1)</f>
        <v>2051</v>
      </c>
      <c r="D145" s="471">
        <f t="shared" si="14"/>
        <v>0</v>
      </c>
      <c r="E145" s="515">
        <f t="shared" si="15"/>
        <v>0</v>
      </c>
      <c r="F145" s="515">
        <f t="shared" si="8"/>
        <v>0</v>
      </c>
      <c r="G145" s="471">
        <f t="shared" si="9"/>
        <v>0</v>
      </c>
      <c r="H145" s="509">
        <f>+J97*G145+E145</f>
        <v>0</v>
      </c>
      <c r="I145" s="516">
        <f>+J98*G145+E145</f>
        <v>0</v>
      </c>
      <c r="J145" s="512">
        <f t="shared" si="10"/>
        <v>0</v>
      </c>
      <c r="K145" s="512"/>
      <c r="L145" s="517"/>
      <c r="M145" s="512">
        <f t="shared" si="11"/>
        <v>0</v>
      </c>
      <c r="N145" s="517"/>
      <c r="O145" s="512">
        <f t="shared" si="12"/>
        <v>0</v>
      </c>
      <c r="P145" s="512">
        <f t="shared" si="13"/>
        <v>0</v>
      </c>
      <c r="Q145" s="473"/>
    </row>
    <row r="146" spans="3:17">
      <c r="C146" s="508">
        <f>IF(D96="","-",+C145+1)</f>
        <v>2052</v>
      </c>
      <c r="D146" s="471">
        <f t="shared" si="14"/>
        <v>0</v>
      </c>
      <c r="E146" s="515">
        <f t="shared" si="15"/>
        <v>0</v>
      </c>
      <c r="F146" s="515">
        <f t="shared" si="8"/>
        <v>0</v>
      </c>
      <c r="G146" s="471">
        <f t="shared" si="9"/>
        <v>0</v>
      </c>
      <c r="H146" s="509">
        <f>+J97*G146+E146</f>
        <v>0</v>
      </c>
      <c r="I146" s="516">
        <f>+J98*G146+E146</f>
        <v>0</v>
      </c>
      <c r="J146" s="512">
        <f t="shared" si="10"/>
        <v>0</v>
      </c>
      <c r="K146" s="512"/>
      <c r="L146" s="517"/>
      <c r="M146" s="512">
        <f t="shared" si="11"/>
        <v>0</v>
      </c>
      <c r="N146" s="517"/>
      <c r="O146" s="512">
        <f t="shared" si="12"/>
        <v>0</v>
      </c>
      <c r="P146" s="512">
        <f t="shared" si="13"/>
        <v>0</v>
      </c>
      <c r="Q146" s="473"/>
    </row>
    <row r="147" spans="3:17">
      <c r="C147" s="508">
        <f>IF(D96="","-",+C146+1)</f>
        <v>2053</v>
      </c>
      <c r="D147" s="471">
        <f t="shared" si="14"/>
        <v>0</v>
      </c>
      <c r="E147" s="515">
        <f t="shared" si="15"/>
        <v>0</v>
      </c>
      <c r="F147" s="515">
        <f t="shared" si="8"/>
        <v>0</v>
      </c>
      <c r="G147" s="471">
        <f t="shared" si="9"/>
        <v>0</v>
      </c>
      <c r="H147" s="509">
        <f>+J97*G147+E147</f>
        <v>0</v>
      </c>
      <c r="I147" s="516">
        <f>+J98*G147+E147</f>
        <v>0</v>
      </c>
      <c r="J147" s="512">
        <f t="shared" si="10"/>
        <v>0</v>
      </c>
      <c r="K147" s="512"/>
      <c r="L147" s="517"/>
      <c r="M147" s="512">
        <f t="shared" si="11"/>
        <v>0</v>
      </c>
      <c r="N147" s="517"/>
      <c r="O147" s="512">
        <f t="shared" si="12"/>
        <v>0</v>
      </c>
      <c r="P147" s="512">
        <f t="shared" si="13"/>
        <v>0</v>
      </c>
      <c r="Q147" s="473"/>
    </row>
    <row r="148" spans="3:17">
      <c r="C148" s="508">
        <f>IF(D96="","-",+C147+1)</f>
        <v>2054</v>
      </c>
      <c r="D148" s="471">
        <f t="shared" si="14"/>
        <v>0</v>
      </c>
      <c r="E148" s="515">
        <f t="shared" si="15"/>
        <v>0</v>
      </c>
      <c r="F148" s="515">
        <f t="shared" si="8"/>
        <v>0</v>
      </c>
      <c r="G148" s="471">
        <f t="shared" si="9"/>
        <v>0</v>
      </c>
      <c r="H148" s="509">
        <f>+J97*G148+E148</f>
        <v>0</v>
      </c>
      <c r="I148" s="516">
        <f>+J98*G148+E148</f>
        <v>0</v>
      </c>
      <c r="J148" s="512">
        <f t="shared" si="10"/>
        <v>0</v>
      </c>
      <c r="K148" s="512"/>
      <c r="L148" s="517"/>
      <c r="M148" s="512">
        <f t="shared" si="11"/>
        <v>0</v>
      </c>
      <c r="N148" s="517"/>
      <c r="O148" s="512">
        <f t="shared" si="12"/>
        <v>0</v>
      </c>
      <c r="P148" s="512">
        <f t="shared" si="13"/>
        <v>0</v>
      </c>
      <c r="Q148" s="473"/>
    </row>
    <row r="149" spans="3:17">
      <c r="C149" s="508">
        <f>IF(D96="","-",+C148+1)</f>
        <v>2055</v>
      </c>
      <c r="D149" s="471">
        <f t="shared" si="14"/>
        <v>0</v>
      </c>
      <c r="E149" s="515">
        <f t="shared" si="15"/>
        <v>0</v>
      </c>
      <c r="F149" s="515">
        <f t="shared" si="8"/>
        <v>0</v>
      </c>
      <c r="G149" s="471">
        <f t="shared" si="9"/>
        <v>0</v>
      </c>
      <c r="H149" s="509">
        <f>+J97*G149+E149</f>
        <v>0</v>
      </c>
      <c r="I149" s="516">
        <f>+J98*G149+E149</f>
        <v>0</v>
      </c>
      <c r="J149" s="512">
        <f t="shared" si="10"/>
        <v>0</v>
      </c>
      <c r="K149" s="512"/>
      <c r="L149" s="517"/>
      <c r="M149" s="512">
        <f t="shared" si="11"/>
        <v>0</v>
      </c>
      <c r="N149" s="517"/>
      <c r="O149" s="512">
        <f t="shared" si="12"/>
        <v>0</v>
      </c>
      <c r="P149" s="512">
        <f t="shared" si="13"/>
        <v>0</v>
      </c>
      <c r="Q149" s="473"/>
    </row>
    <row r="150" spans="3:17">
      <c r="C150" s="508">
        <f>IF(D96="","-",+C149+1)</f>
        <v>2056</v>
      </c>
      <c r="D150" s="471">
        <f t="shared" si="14"/>
        <v>0</v>
      </c>
      <c r="E150" s="515">
        <f t="shared" si="15"/>
        <v>0</v>
      </c>
      <c r="F150" s="515">
        <f t="shared" si="8"/>
        <v>0</v>
      </c>
      <c r="G150" s="471">
        <f t="shared" si="9"/>
        <v>0</v>
      </c>
      <c r="H150" s="509">
        <f>+J97*G150+E150</f>
        <v>0</v>
      </c>
      <c r="I150" s="516">
        <f>+J98*G150+E150</f>
        <v>0</v>
      </c>
      <c r="J150" s="512">
        <f t="shared" si="10"/>
        <v>0</v>
      </c>
      <c r="K150" s="512"/>
      <c r="L150" s="517"/>
      <c r="M150" s="512">
        <f t="shared" si="11"/>
        <v>0</v>
      </c>
      <c r="N150" s="517"/>
      <c r="O150" s="512">
        <f t="shared" si="12"/>
        <v>0</v>
      </c>
      <c r="P150" s="512">
        <f t="shared" si="13"/>
        <v>0</v>
      </c>
      <c r="Q150" s="473"/>
    </row>
    <row r="151" spans="3:17">
      <c r="C151" s="508">
        <f>IF(D96="","-",+C150+1)</f>
        <v>2057</v>
      </c>
      <c r="D151" s="471">
        <f t="shared" si="14"/>
        <v>0</v>
      </c>
      <c r="E151" s="515">
        <f t="shared" si="15"/>
        <v>0</v>
      </c>
      <c r="F151" s="515">
        <f t="shared" si="8"/>
        <v>0</v>
      </c>
      <c r="G151" s="471">
        <f t="shared" si="9"/>
        <v>0</v>
      </c>
      <c r="H151" s="509">
        <f>+J97*G151+E151</f>
        <v>0</v>
      </c>
      <c r="I151" s="516">
        <f>+J98*G151+E151</f>
        <v>0</v>
      </c>
      <c r="J151" s="512">
        <f t="shared" si="10"/>
        <v>0</v>
      </c>
      <c r="K151" s="512"/>
      <c r="L151" s="517"/>
      <c r="M151" s="512">
        <f t="shared" si="11"/>
        <v>0</v>
      </c>
      <c r="N151" s="517"/>
      <c r="O151" s="512">
        <f t="shared" si="12"/>
        <v>0</v>
      </c>
      <c r="P151" s="512">
        <f t="shared" si="13"/>
        <v>0</v>
      </c>
      <c r="Q151" s="473"/>
    </row>
    <row r="152" spans="3:17">
      <c r="C152" s="508">
        <f>IF(D96="","-",+C151+1)</f>
        <v>2058</v>
      </c>
      <c r="D152" s="471">
        <f t="shared" si="14"/>
        <v>0</v>
      </c>
      <c r="E152" s="515">
        <f t="shared" si="15"/>
        <v>0</v>
      </c>
      <c r="F152" s="515">
        <f t="shared" si="8"/>
        <v>0</v>
      </c>
      <c r="G152" s="471">
        <f t="shared" si="9"/>
        <v>0</v>
      </c>
      <c r="H152" s="509">
        <f>+J97*G152+E152</f>
        <v>0</v>
      </c>
      <c r="I152" s="516">
        <f>+J98*G152+E152</f>
        <v>0</v>
      </c>
      <c r="J152" s="512">
        <f t="shared" si="10"/>
        <v>0</v>
      </c>
      <c r="K152" s="512"/>
      <c r="L152" s="517"/>
      <c r="M152" s="512">
        <f t="shared" si="11"/>
        <v>0</v>
      </c>
      <c r="N152" s="517"/>
      <c r="O152" s="512">
        <f t="shared" si="12"/>
        <v>0</v>
      </c>
      <c r="P152" s="512">
        <f t="shared" si="13"/>
        <v>0</v>
      </c>
      <c r="Q152" s="473"/>
    </row>
    <row r="153" spans="3:17">
      <c r="C153" s="508">
        <f>IF(D96="","-",+C152+1)</f>
        <v>2059</v>
      </c>
      <c r="D153" s="471">
        <f t="shared" si="14"/>
        <v>0</v>
      </c>
      <c r="E153" s="515">
        <f t="shared" si="15"/>
        <v>0</v>
      </c>
      <c r="F153" s="515">
        <f t="shared" si="8"/>
        <v>0</v>
      </c>
      <c r="G153" s="471">
        <f t="shared" si="9"/>
        <v>0</v>
      </c>
      <c r="H153" s="509">
        <f>+J97*G153+E153</f>
        <v>0</v>
      </c>
      <c r="I153" s="516">
        <f>+J98*G153+E153</f>
        <v>0</v>
      </c>
      <c r="J153" s="512">
        <f t="shared" si="10"/>
        <v>0</v>
      </c>
      <c r="K153" s="512"/>
      <c r="L153" s="517"/>
      <c r="M153" s="512">
        <f t="shared" si="11"/>
        <v>0</v>
      </c>
      <c r="N153" s="517"/>
      <c r="O153" s="512">
        <f t="shared" si="12"/>
        <v>0</v>
      </c>
      <c r="P153" s="512">
        <f t="shared" si="13"/>
        <v>0</v>
      </c>
      <c r="Q153" s="473"/>
    </row>
    <row r="154" spans="3:17">
      <c r="C154" s="508">
        <f>IF(D96="","-",+C153+1)</f>
        <v>2060</v>
      </c>
      <c r="D154" s="471">
        <f t="shared" si="14"/>
        <v>0</v>
      </c>
      <c r="E154" s="515">
        <f t="shared" si="15"/>
        <v>0</v>
      </c>
      <c r="F154" s="515">
        <f t="shared" si="8"/>
        <v>0</v>
      </c>
      <c r="G154" s="471">
        <f t="shared" si="9"/>
        <v>0</v>
      </c>
      <c r="H154" s="509">
        <f>+J97*G154+E154</f>
        <v>0</v>
      </c>
      <c r="I154" s="516">
        <f>+J98*G154+E154</f>
        <v>0</v>
      </c>
      <c r="J154" s="512">
        <f t="shared" si="10"/>
        <v>0</v>
      </c>
      <c r="K154" s="512"/>
      <c r="L154" s="517"/>
      <c r="M154" s="512">
        <f t="shared" si="11"/>
        <v>0</v>
      </c>
      <c r="N154" s="517"/>
      <c r="O154" s="512">
        <f t="shared" si="12"/>
        <v>0</v>
      </c>
      <c r="P154" s="512">
        <f t="shared" si="13"/>
        <v>0</v>
      </c>
      <c r="Q154" s="473"/>
    </row>
    <row r="155" spans="3:17">
      <c r="C155" s="508">
        <f>IF(D96="","-",+C154+1)</f>
        <v>2061</v>
      </c>
      <c r="D155" s="471">
        <f t="shared" si="14"/>
        <v>0</v>
      </c>
      <c r="E155" s="515">
        <f t="shared" si="15"/>
        <v>0</v>
      </c>
      <c r="F155" s="515">
        <f t="shared" si="8"/>
        <v>0</v>
      </c>
      <c r="G155" s="471">
        <f t="shared" si="9"/>
        <v>0</v>
      </c>
      <c r="H155" s="509">
        <f>+J97*G155+E155</f>
        <v>0</v>
      </c>
      <c r="I155" s="516">
        <f>+J98*G155+E155</f>
        <v>0</v>
      </c>
      <c r="J155" s="512">
        <f t="shared" si="10"/>
        <v>0</v>
      </c>
      <c r="K155" s="512"/>
      <c r="L155" s="517"/>
      <c r="M155" s="512">
        <f t="shared" si="11"/>
        <v>0</v>
      </c>
      <c r="N155" s="517"/>
      <c r="O155" s="512">
        <f t="shared" si="12"/>
        <v>0</v>
      </c>
      <c r="P155" s="512">
        <f t="shared" si="13"/>
        <v>0</v>
      </c>
      <c r="Q155" s="473"/>
    </row>
    <row r="156" spans="3:17">
      <c r="C156" s="508">
        <f>IF(D96="","-",+C155+1)</f>
        <v>2062</v>
      </c>
      <c r="D156" s="471">
        <f t="shared" si="14"/>
        <v>0</v>
      </c>
      <c r="E156" s="515">
        <f t="shared" si="15"/>
        <v>0</v>
      </c>
      <c r="F156" s="515">
        <f t="shared" si="8"/>
        <v>0</v>
      </c>
      <c r="G156" s="471">
        <f t="shared" si="9"/>
        <v>0</v>
      </c>
      <c r="H156" s="509">
        <f>+J97*G156+E156</f>
        <v>0</v>
      </c>
      <c r="I156" s="516">
        <f>+J98*G156+E156</f>
        <v>0</v>
      </c>
      <c r="J156" s="512">
        <f t="shared" si="10"/>
        <v>0</v>
      </c>
      <c r="K156" s="512"/>
      <c r="L156" s="517"/>
      <c r="M156" s="512">
        <f t="shared" si="11"/>
        <v>0</v>
      </c>
      <c r="N156" s="517"/>
      <c r="O156" s="512">
        <f t="shared" si="12"/>
        <v>0</v>
      </c>
      <c r="P156" s="512">
        <f t="shared" si="13"/>
        <v>0</v>
      </c>
      <c r="Q156" s="473"/>
    </row>
    <row r="157" spans="3:17">
      <c r="C157" s="508">
        <f>IF(D96="","-",+C156+1)</f>
        <v>2063</v>
      </c>
      <c r="D157" s="471">
        <f t="shared" si="14"/>
        <v>0</v>
      </c>
      <c r="E157" s="515">
        <f t="shared" si="15"/>
        <v>0</v>
      </c>
      <c r="F157" s="515">
        <f t="shared" si="8"/>
        <v>0</v>
      </c>
      <c r="G157" s="471">
        <f t="shared" si="9"/>
        <v>0</v>
      </c>
      <c r="H157" s="509">
        <f>+J97*G157+E157</f>
        <v>0</v>
      </c>
      <c r="I157" s="516">
        <f>+J98*G157+E157</f>
        <v>0</v>
      </c>
      <c r="J157" s="512">
        <f t="shared" si="10"/>
        <v>0</v>
      </c>
      <c r="K157" s="512"/>
      <c r="L157" s="517"/>
      <c r="M157" s="512">
        <f t="shared" si="11"/>
        <v>0</v>
      </c>
      <c r="N157" s="517"/>
      <c r="O157" s="512">
        <f t="shared" si="12"/>
        <v>0</v>
      </c>
      <c r="P157" s="512">
        <f t="shared" si="13"/>
        <v>0</v>
      </c>
      <c r="Q157" s="473"/>
    </row>
    <row r="158" spans="3:17">
      <c r="C158" s="508">
        <f>IF(D96="","-",+C157+1)</f>
        <v>2064</v>
      </c>
      <c r="D158" s="471">
        <f t="shared" si="14"/>
        <v>0</v>
      </c>
      <c r="E158" s="515">
        <f t="shared" si="15"/>
        <v>0</v>
      </c>
      <c r="F158" s="515">
        <f t="shared" si="8"/>
        <v>0</v>
      </c>
      <c r="G158" s="471">
        <f t="shared" si="9"/>
        <v>0</v>
      </c>
      <c r="H158" s="509">
        <f>+J97*G158+E158</f>
        <v>0</v>
      </c>
      <c r="I158" s="516">
        <f>+J98*G158+E158</f>
        <v>0</v>
      </c>
      <c r="J158" s="512">
        <f t="shared" si="10"/>
        <v>0</v>
      </c>
      <c r="K158" s="512"/>
      <c r="L158" s="517"/>
      <c r="M158" s="512">
        <f t="shared" si="11"/>
        <v>0</v>
      </c>
      <c r="N158" s="517"/>
      <c r="O158" s="512">
        <f t="shared" si="12"/>
        <v>0</v>
      </c>
      <c r="P158" s="512">
        <f t="shared" si="13"/>
        <v>0</v>
      </c>
      <c r="Q158" s="473"/>
    </row>
    <row r="159" spans="3:17">
      <c r="C159" s="508">
        <f>IF(D96="","-",+C158+1)</f>
        <v>2065</v>
      </c>
      <c r="D159" s="471">
        <f t="shared" si="14"/>
        <v>0</v>
      </c>
      <c r="E159" s="515">
        <f t="shared" si="15"/>
        <v>0</v>
      </c>
      <c r="F159" s="515">
        <f t="shared" si="8"/>
        <v>0</v>
      </c>
      <c r="G159" s="471">
        <f t="shared" si="9"/>
        <v>0</v>
      </c>
      <c r="H159" s="509">
        <f>+J97*G159+E159</f>
        <v>0</v>
      </c>
      <c r="I159" s="516">
        <f>+J98*G159+E159</f>
        <v>0</v>
      </c>
      <c r="J159" s="512">
        <f t="shared" si="10"/>
        <v>0</v>
      </c>
      <c r="K159" s="512"/>
      <c r="L159" s="517"/>
      <c r="M159" s="512">
        <f t="shared" si="11"/>
        <v>0</v>
      </c>
      <c r="N159" s="517"/>
      <c r="O159" s="512">
        <f t="shared" si="12"/>
        <v>0</v>
      </c>
      <c r="P159" s="512">
        <f t="shared" si="13"/>
        <v>0</v>
      </c>
      <c r="Q159" s="473"/>
    </row>
    <row r="160" spans="3:17">
      <c r="C160" s="508">
        <f>IF(D96="","-",+C159+1)</f>
        <v>2066</v>
      </c>
      <c r="D160" s="471">
        <f t="shared" si="14"/>
        <v>0</v>
      </c>
      <c r="E160" s="515">
        <f t="shared" si="15"/>
        <v>0</v>
      </c>
      <c r="F160" s="515">
        <f t="shared" si="8"/>
        <v>0</v>
      </c>
      <c r="G160" s="471">
        <f t="shared" si="9"/>
        <v>0</v>
      </c>
      <c r="H160" s="509">
        <f>+J97*G160+E160</f>
        <v>0</v>
      </c>
      <c r="I160" s="516">
        <f>+J98*G160+E160</f>
        <v>0</v>
      </c>
      <c r="J160" s="512">
        <f t="shared" si="10"/>
        <v>0</v>
      </c>
      <c r="K160" s="512"/>
      <c r="L160" s="517"/>
      <c r="M160" s="512">
        <f t="shared" si="11"/>
        <v>0</v>
      </c>
      <c r="N160" s="517"/>
      <c r="O160" s="512">
        <f t="shared" si="12"/>
        <v>0</v>
      </c>
      <c r="P160" s="512">
        <f t="shared" si="13"/>
        <v>0</v>
      </c>
      <c r="Q160" s="473"/>
    </row>
    <row r="161" spans="1:17" ht="13.5" thickBot="1">
      <c r="C161" s="520">
        <f>IF(D96="","-",+C160+1)</f>
        <v>2067</v>
      </c>
      <c r="D161" s="521">
        <f t="shared" si="14"/>
        <v>0</v>
      </c>
      <c r="E161" s="522">
        <f t="shared" si="15"/>
        <v>0</v>
      </c>
      <c r="F161" s="522">
        <f t="shared" si="8"/>
        <v>0</v>
      </c>
      <c r="G161" s="521">
        <f t="shared" si="9"/>
        <v>0</v>
      </c>
      <c r="H161" s="523">
        <f>+J97*G161+E161</f>
        <v>0</v>
      </c>
      <c r="I161" s="523">
        <f>+J98*G161+E161</f>
        <v>0</v>
      </c>
      <c r="J161" s="524">
        <f t="shared" si="10"/>
        <v>0</v>
      </c>
      <c r="K161" s="512"/>
      <c r="L161" s="525"/>
      <c r="M161" s="524">
        <f t="shared" si="11"/>
        <v>0</v>
      </c>
      <c r="N161" s="525"/>
      <c r="O161" s="524">
        <f t="shared" si="12"/>
        <v>0</v>
      </c>
      <c r="P161" s="524">
        <f t="shared" si="13"/>
        <v>0</v>
      </c>
      <c r="Q161" s="473"/>
    </row>
    <row r="162" spans="1:17">
      <c r="C162" s="471" t="s">
        <v>288</v>
      </c>
      <c r="D162" s="469"/>
      <c r="E162" s="469">
        <f>SUM(E102:E161)</f>
        <v>13789271.550000001</v>
      </c>
      <c r="F162" s="469"/>
      <c r="G162" s="469"/>
      <c r="H162" s="469">
        <f>SUM(H102:H161)</f>
        <v>46454121.891357072</v>
      </c>
      <c r="I162" s="469">
        <f>SUM(I102:I161)</f>
        <v>46454121.891357072</v>
      </c>
      <c r="J162" s="469">
        <f>SUM(J102:J161)</f>
        <v>0</v>
      </c>
      <c r="K162" s="469"/>
      <c r="L162" s="469"/>
      <c r="M162" s="469"/>
      <c r="N162" s="469"/>
      <c r="O162" s="469"/>
      <c r="Q162" s="469"/>
    </row>
    <row r="163" spans="1:17">
      <c r="D163" s="78"/>
      <c r="E163" s="4"/>
      <c r="F163" s="4"/>
      <c r="G163" s="4"/>
      <c r="H163" s="4"/>
      <c r="I163" s="454"/>
      <c r="J163" s="454"/>
      <c r="K163" s="469"/>
      <c r="L163" s="454"/>
      <c r="M163" s="454"/>
      <c r="N163" s="454"/>
      <c r="O163" s="454"/>
      <c r="Q163" s="469"/>
    </row>
    <row r="164" spans="1:17">
      <c r="C164" s="4" t="s">
        <v>600</v>
      </c>
      <c r="D164" s="78"/>
      <c r="E164" s="4"/>
      <c r="F164" s="4"/>
      <c r="G164" s="4"/>
      <c r="H164" s="4"/>
      <c r="I164" s="454"/>
      <c r="J164" s="454"/>
      <c r="K164" s="469"/>
      <c r="L164" s="454"/>
      <c r="M164" s="454"/>
      <c r="N164" s="454"/>
      <c r="O164" s="454"/>
      <c r="Q164" s="469"/>
    </row>
    <row r="165" spans="1:17">
      <c r="D165" s="78"/>
      <c r="E165" s="4"/>
      <c r="F165" s="4"/>
      <c r="G165" s="4"/>
      <c r="H165" s="4"/>
      <c r="I165" s="454"/>
      <c r="J165" s="454"/>
      <c r="K165" s="469"/>
      <c r="L165" s="454"/>
      <c r="M165" s="454"/>
      <c r="N165" s="454"/>
      <c r="O165" s="454"/>
      <c r="Q165" s="469"/>
    </row>
    <row r="166" spans="1:17">
      <c r="C166" s="4" t="s">
        <v>601</v>
      </c>
      <c r="D166" s="471"/>
      <c r="E166" s="471"/>
      <c r="F166" s="471"/>
      <c r="G166" s="471"/>
      <c r="H166" s="469"/>
      <c r="I166" s="469"/>
      <c r="J166" s="473"/>
      <c r="K166" s="473"/>
      <c r="L166" s="473"/>
      <c r="M166" s="473"/>
      <c r="N166" s="473"/>
      <c r="O166" s="473"/>
      <c r="Q166" s="473"/>
    </row>
    <row r="167" spans="1:17">
      <c r="C167" s="4" t="s">
        <v>476</v>
      </c>
      <c r="D167" s="471"/>
      <c r="E167" s="471"/>
      <c r="F167" s="471"/>
      <c r="G167" s="471"/>
      <c r="H167" s="469"/>
      <c r="I167" s="469"/>
      <c r="J167" s="473"/>
      <c r="K167" s="473"/>
      <c r="L167" s="473"/>
      <c r="M167" s="473"/>
      <c r="N167" s="473"/>
      <c r="O167" s="473"/>
      <c r="Q167" s="473"/>
    </row>
    <row r="168" spans="1:17">
      <c r="C168" s="4" t="s">
        <v>289</v>
      </c>
      <c r="D168" s="471"/>
      <c r="E168" s="471"/>
      <c r="F168" s="471"/>
      <c r="G168" s="471"/>
      <c r="H168" s="469"/>
      <c r="I168" s="469"/>
      <c r="J168" s="473"/>
      <c r="K168" s="473"/>
      <c r="L168" s="473"/>
      <c r="M168" s="473"/>
      <c r="N168" s="473"/>
      <c r="O168" s="473"/>
      <c r="Q168" s="473"/>
    </row>
    <row r="169" spans="1:17" ht="20.25">
      <c r="A169" s="413" t="s">
        <v>767</v>
      </c>
      <c r="B169" s="4"/>
      <c r="C169" s="4"/>
      <c r="D169" s="78"/>
      <c r="E169" s="4"/>
      <c r="F169" s="80"/>
      <c r="G169" s="80"/>
      <c r="H169" s="4"/>
      <c r="I169" s="454"/>
      <c r="L169" s="11"/>
      <c r="M169" s="11"/>
      <c r="N169" s="11"/>
      <c r="O169" s="11" t="str">
        <f>"Page "&amp;SUM(Q$3:Q169)&amp;" of "</f>
        <v xml:space="preserve">Page 3 of </v>
      </c>
      <c r="P169" s="414">
        <f>COUNT(Q$8:Q$58123)</f>
        <v>16</v>
      </c>
      <c r="Q169" s="544">
        <v>1</v>
      </c>
    </row>
    <row r="170" spans="1:17">
      <c r="B170" s="4"/>
      <c r="C170" s="4"/>
      <c r="D170" s="78"/>
      <c r="E170" s="4"/>
      <c r="F170" s="4"/>
      <c r="G170" s="4"/>
      <c r="H170" s="4"/>
      <c r="I170" s="454"/>
      <c r="J170" s="4"/>
      <c r="K170" s="4"/>
    </row>
    <row r="171" spans="1:17" ht="18">
      <c r="B171" s="415" t="s">
        <v>174</v>
      </c>
      <c r="C171" s="474" t="s">
        <v>290</v>
      </c>
      <c r="D171" s="78"/>
      <c r="E171" s="4"/>
      <c r="F171" s="4"/>
      <c r="G171" s="4"/>
      <c r="H171" s="4"/>
      <c r="I171" s="454"/>
      <c r="J171" s="454"/>
      <c r="K171" s="469"/>
      <c r="L171" s="454"/>
      <c r="M171" s="454"/>
      <c r="N171" s="454"/>
      <c r="O171" s="454"/>
      <c r="Q171" s="469"/>
    </row>
    <row r="172" spans="1:17" ht="18.75">
      <c r="B172" s="415"/>
      <c r="C172" s="13"/>
      <c r="D172" s="78"/>
      <c r="E172" s="4"/>
      <c r="F172" s="4"/>
      <c r="G172" s="4"/>
      <c r="H172" s="4"/>
      <c r="I172" s="454"/>
      <c r="J172" s="454"/>
      <c r="K172" s="469"/>
      <c r="L172" s="454"/>
      <c r="M172" s="454"/>
      <c r="N172" s="454"/>
      <c r="O172" s="454"/>
      <c r="Q172" s="469"/>
    </row>
    <row r="173" spans="1:17" ht="18.75">
      <c r="B173" s="415"/>
      <c r="C173" s="13" t="s">
        <v>291</v>
      </c>
      <c r="D173" s="78"/>
      <c r="E173" s="4"/>
      <c r="F173" s="4"/>
      <c r="G173" s="4"/>
      <c r="H173" s="4"/>
      <c r="I173" s="454"/>
      <c r="J173" s="454"/>
      <c r="K173" s="469"/>
      <c r="L173" s="454"/>
      <c r="M173" s="454"/>
      <c r="N173" s="454"/>
      <c r="O173" s="454"/>
      <c r="Q173" s="469"/>
    </row>
    <row r="174" spans="1:17" ht="15.75" thickBot="1">
      <c r="C174" s="250"/>
      <c r="D174" s="78"/>
      <c r="E174" s="4"/>
      <c r="F174" s="4"/>
      <c r="G174" s="4"/>
      <c r="H174" s="4"/>
      <c r="I174" s="454"/>
      <c r="J174" s="454"/>
      <c r="K174" s="469"/>
      <c r="L174" s="454"/>
      <c r="M174" s="454"/>
      <c r="N174" s="454"/>
      <c r="O174" s="454"/>
      <c r="Q174" s="469"/>
    </row>
    <row r="175" spans="1:17" ht="15.75">
      <c r="C175" s="416" t="s">
        <v>292</v>
      </c>
      <c r="D175" s="78"/>
      <c r="E175" s="4"/>
      <c r="F175" s="4"/>
      <c r="G175" s="4"/>
      <c r="H175" s="642"/>
      <c r="I175" s="4" t="s">
        <v>271</v>
      </c>
      <c r="J175" s="4"/>
      <c r="K175" s="4"/>
      <c r="L175" s="545">
        <f>+J181</f>
        <v>2025</v>
      </c>
      <c r="M175" s="529" t="s">
        <v>254</v>
      </c>
      <c r="N175" s="529" t="s">
        <v>255</v>
      </c>
      <c r="O175" s="530" t="s">
        <v>256</v>
      </c>
    </row>
    <row r="176" spans="1:17" ht="15.75">
      <c r="C176" s="416"/>
      <c r="D176" s="78"/>
      <c r="E176" s="4"/>
      <c r="F176" s="4"/>
      <c r="H176" s="4"/>
      <c r="I176" s="478"/>
      <c r="J176" s="478"/>
      <c r="K176" s="479"/>
      <c r="L176" s="546" t="s">
        <v>455</v>
      </c>
      <c r="M176" s="547">
        <f>VLOOKUP(J181,C188:P247,10)</f>
        <v>245343.92585185828</v>
      </c>
      <c r="N176" s="547">
        <f>VLOOKUP(J181,C188:P247,12)</f>
        <v>245343.92585185828</v>
      </c>
      <c r="O176" s="548">
        <f>+N176-M176</f>
        <v>0</v>
      </c>
      <c r="Q176" s="479"/>
    </row>
    <row r="177" spans="1:17">
      <c r="C177" s="481" t="s">
        <v>293</v>
      </c>
      <c r="D177" s="1304" t="s">
        <v>930</v>
      </c>
      <c r="E177" s="1304"/>
      <c r="F177" s="1304"/>
      <c r="G177" s="1304"/>
      <c r="H177" s="653"/>
      <c r="I177" s="454"/>
      <c r="J177" s="454"/>
      <c r="K177" s="469"/>
      <c r="L177" s="546" t="s">
        <v>456</v>
      </c>
      <c r="M177" s="549">
        <f>VLOOKUP(J181,C188:P247,6)</f>
        <v>244098.19105383608</v>
      </c>
      <c r="N177" s="549">
        <f>VLOOKUP(J181,C188:P247,7)</f>
        <v>244098.19105383608</v>
      </c>
      <c r="O177" s="550">
        <f>+N177-M177</f>
        <v>0</v>
      </c>
      <c r="Q177" s="469"/>
    </row>
    <row r="178" spans="1:17" ht="13.5" thickBot="1">
      <c r="C178" s="483"/>
      <c r="D178" s="484"/>
      <c r="E178" s="471"/>
      <c r="F178" s="471"/>
      <c r="G178" s="471"/>
      <c r="H178" s="485"/>
      <c r="I178" s="454"/>
      <c r="J178" s="454"/>
      <c r="K178" s="469"/>
      <c r="L178" s="495" t="s">
        <v>457</v>
      </c>
      <c r="M178" s="551">
        <f>+M177-M176</f>
        <v>-1245.7347980221966</v>
      </c>
      <c r="N178" s="551">
        <f>+N177-N176</f>
        <v>-1245.7347980221966</v>
      </c>
      <c r="O178" s="552">
        <f>+O177-O176</f>
        <v>0</v>
      </c>
      <c r="Q178" s="469"/>
    </row>
    <row r="179" spans="1:17" ht="13.5" thickBot="1">
      <c r="C179" s="483"/>
      <c r="D179" s="4"/>
      <c r="E179" s="485"/>
      <c r="F179" s="485"/>
      <c r="G179" s="485"/>
      <c r="H179" s="485"/>
      <c r="I179" s="485"/>
      <c r="J179" s="485"/>
      <c r="K179" s="485"/>
      <c r="L179" s="485"/>
      <c r="M179" s="485"/>
      <c r="N179" s="485"/>
      <c r="O179" s="485"/>
      <c r="Q179" s="485"/>
    </row>
    <row r="180" spans="1:17" ht="13.5" thickBot="1">
      <c r="C180" s="487" t="s">
        <v>294</v>
      </c>
      <c r="D180" s="488"/>
      <c r="E180" s="488"/>
      <c r="F180" s="488"/>
      <c r="G180" s="488"/>
      <c r="H180" s="488"/>
      <c r="I180" s="488"/>
      <c r="J180" s="488"/>
      <c r="Q180"/>
    </row>
    <row r="181" spans="1:17" ht="15">
      <c r="A181" s="486"/>
      <c r="C181" s="490" t="s">
        <v>272</v>
      </c>
      <c r="D181" s="643">
        <v>2476288.83</v>
      </c>
      <c r="E181" s="4" t="s">
        <v>273</v>
      </c>
      <c r="H181" s="78"/>
      <c r="I181" s="78"/>
      <c r="J181" s="491">
        <f>$J$95</f>
        <v>2025</v>
      </c>
      <c r="K181" s="134"/>
      <c r="L181" s="1305" t="s">
        <v>274</v>
      </c>
      <c r="M181" s="1305"/>
      <c r="N181" s="1305"/>
      <c r="O181" s="1305"/>
      <c r="Q181" s="134"/>
    </row>
    <row r="182" spans="1:17">
      <c r="A182" s="486"/>
      <c r="C182" s="490" t="s">
        <v>275</v>
      </c>
      <c r="D182" s="654">
        <v>2011</v>
      </c>
      <c r="E182" s="490" t="s">
        <v>276</v>
      </c>
      <c r="F182" s="78"/>
      <c r="G182" s="78"/>
      <c r="I182"/>
      <c r="J182" s="647">
        <v>0</v>
      </c>
      <c r="K182" s="492"/>
      <c r="L182" s="469" t="s">
        <v>475</v>
      </c>
      <c r="Q182" s="492"/>
    </row>
    <row r="183" spans="1:17">
      <c r="A183" s="486"/>
      <c r="C183" s="490" t="s">
        <v>277</v>
      </c>
      <c r="D183" s="645">
        <v>12</v>
      </c>
      <c r="E183" s="490" t="s">
        <v>278</v>
      </c>
      <c r="F183" s="78"/>
      <c r="G183" s="78"/>
      <c r="I183"/>
      <c r="J183" s="493">
        <f>$F$70</f>
        <v>0.11017952320434825</v>
      </c>
      <c r="K183" s="80"/>
      <c r="L183" s="4" t="str">
        <f>"          INPUT TRUE-UP ARR (WITH &amp; WITHOUT INCENTIVES) FROM EACH PRIOR YEAR"</f>
        <v xml:space="preserve">          INPUT TRUE-UP ARR (WITH &amp; WITHOUT INCENTIVES) FROM EACH PRIOR YEAR</v>
      </c>
      <c r="Q183" s="80"/>
    </row>
    <row r="184" spans="1:17">
      <c r="A184" s="486"/>
      <c r="C184" s="490" t="s">
        <v>279</v>
      </c>
      <c r="D184" s="494">
        <f>H79</f>
        <v>42</v>
      </c>
      <c r="E184" s="490" t="s">
        <v>280</v>
      </c>
      <c r="F184" s="78"/>
      <c r="G184" s="78"/>
      <c r="I184"/>
      <c r="J184" s="493">
        <f>IF(H175="",J183,$F$69)</f>
        <v>0.11017952320434825</v>
      </c>
      <c r="K184" s="80"/>
      <c r="L184" s="4" t="s">
        <v>362</v>
      </c>
      <c r="M184" s="80"/>
      <c r="N184" s="80"/>
      <c r="O184" s="80"/>
      <c r="Q184" s="80"/>
    </row>
    <row r="185" spans="1:17" ht="13.5" thickBot="1">
      <c r="A185" s="486"/>
      <c r="C185" s="490" t="s">
        <v>281</v>
      </c>
      <c r="D185" s="646" t="s">
        <v>929</v>
      </c>
      <c r="E185" s="495" t="s">
        <v>282</v>
      </c>
      <c r="F185" s="496"/>
      <c r="G185" s="496"/>
      <c r="H185" s="497"/>
      <c r="I185" s="497"/>
      <c r="J185" s="482">
        <f>IF(D181=0,0,D181/D184)</f>
        <v>58959.25785714286</v>
      </c>
      <c r="K185" s="469"/>
      <c r="L185" s="469" t="s">
        <v>363</v>
      </c>
      <c r="M185" s="469"/>
      <c r="N185" s="469"/>
      <c r="O185" s="469"/>
      <c r="Q185" s="469"/>
    </row>
    <row r="186" spans="1:17" ht="38.25">
      <c r="A186" s="12"/>
      <c r="B186" s="12"/>
      <c r="C186" s="498" t="s">
        <v>272</v>
      </c>
      <c r="D186" s="499" t="s">
        <v>283</v>
      </c>
      <c r="E186" s="500" t="s">
        <v>284</v>
      </c>
      <c r="F186" s="499" t="s">
        <v>285</v>
      </c>
      <c r="G186" s="499" t="s">
        <v>458</v>
      </c>
      <c r="H186" s="500" t="s">
        <v>356</v>
      </c>
      <c r="I186" s="501" t="s">
        <v>356</v>
      </c>
      <c r="J186" s="498" t="s">
        <v>295</v>
      </c>
      <c r="K186" s="502"/>
      <c r="L186" s="500" t="s">
        <v>358</v>
      </c>
      <c r="M186" s="500" t="s">
        <v>364</v>
      </c>
      <c r="N186" s="500" t="s">
        <v>358</v>
      </c>
      <c r="O186" s="500" t="s">
        <v>366</v>
      </c>
      <c r="P186" s="500" t="s">
        <v>286</v>
      </c>
      <c r="Q186" s="127"/>
    </row>
    <row r="187" spans="1:17" ht="13.5" thickBot="1">
      <c r="C187" s="503" t="s">
        <v>177</v>
      </c>
      <c r="D187" s="504" t="s">
        <v>178</v>
      </c>
      <c r="E187" s="503" t="s">
        <v>37</v>
      </c>
      <c r="F187" s="504" t="s">
        <v>178</v>
      </c>
      <c r="G187" s="504" t="s">
        <v>178</v>
      </c>
      <c r="H187" s="505" t="s">
        <v>298</v>
      </c>
      <c r="I187" s="506" t="s">
        <v>300</v>
      </c>
      <c r="J187" s="503" t="s">
        <v>389</v>
      </c>
      <c r="K187" s="507"/>
      <c r="L187" s="505" t="s">
        <v>287</v>
      </c>
      <c r="M187" s="505" t="s">
        <v>287</v>
      </c>
      <c r="N187" s="505" t="s">
        <v>467</v>
      </c>
      <c r="O187" s="505" t="s">
        <v>467</v>
      </c>
      <c r="P187" s="505" t="s">
        <v>467</v>
      </c>
      <c r="Q187" s="134"/>
    </row>
    <row r="188" spans="1:17">
      <c r="C188" s="508">
        <f>IF(D182= "","-",D182)</f>
        <v>2011</v>
      </c>
      <c r="D188" s="471">
        <f>+D181</f>
        <v>2476288.83</v>
      </c>
      <c r="E188" s="509">
        <f>+J185/12*(12-D183)</f>
        <v>0</v>
      </c>
      <c r="F188" s="553">
        <f t="shared" ref="F188:F247" si="16">+D188-E188</f>
        <v>2476288.83</v>
      </c>
      <c r="G188" s="471">
        <f t="shared" ref="G188:G247" si="17">+(D188+F188)/2</f>
        <v>2476288.83</v>
      </c>
      <c r="H188" s="510">
        <f>+J183*G188+E188</f>
        <v>272836.32260565337</v>
      </c>
      <c r="I188" s="511">
        <f>+J184*G188+E188</f>
        <v>272836.32260565337</v>
      </c>
      <c r="J188" s="512">
        <f t="shared" ref="J188:J247" si="18">+I188-H188</f>
        <v>0</v>
      </c>
      <c r="K188" s="512"/>
      <c r="L188" s="513">
        <v>0</v>
      </c>
      <c r="M188" s="554">
        <f t="shared" ref="M188:M247" si="19">IF(L188&lt;&gt;0,+H188-L188,0)</f>
        <v>0</v>
      </c>
      <c r="N188" s="513">
        <v>0</v>
      </c>
      <c r="O188" s="554">
        <f t="shared" ref="O188:O247" si="20">IF(N188&lt;&gt;0,+I188-N188,0)</f>
        <v>0</v>
      </c>
      <c r="P188" s="554">
        <f t="shared" ref="P188:P247" si="21">+O188-M188</f>
        <v>0</v>
      </c>
      <c r="Q188" s="473"/>
    </row>
    <row r="189" spans="1:17">
      <c r="C189" s="508">
        <f>IF(D182="","-",+C188+1)</f>
        <v>2012</v>
      </c>
      <c r="D189" s="471">
        <f t="shared" ref="D189:D247" si="22">F188</f>
        <v>2476288.83</v>
      </c>
      <c r="E189" s="515">
        <f>IF(D189&gt;$J$185,$J$185,D189)</f>
        <v>58959.25785714286</v>
      </c>
      <c r="F189" s="515">
        <f t="shared" si="16"/>
        <v>2417329.5721428571</v>
      </c>
      <c r="G189" s="471">
        <f t="shared" si="17"/>
        <v>2446809.2010714286</v>
      </c>
      <c r="H189" s="509">
        <f>+J183*G189+E189</f>
        <v>328547.52900320513</v>
      </c>
      <c r="I189" s="516">
        <f>+J184*G189+E189</f>
        <v>328547.52900320513</v>
      </c>
      <c r="J189" s="512">
        <f t="shared" si="18"/>
        <v>0</v>
      </c>
      <c r="K189" s="512"/>
      <c r="L189" s="517">
        <v>39854</v>
      </c>
      <c r="M189" s="512">
        <f t="shared" si="19"/>
        <v>288693.52900320513</v>
      </c>
      <c r="N189" s="517">
        <v>39854</v>
      </c>
      <c r="O189" s="512">
        <f t="shared" si="20"/>
        <v>288693.52900320513</v>
      </c>
      <c r="P189" s="512">
        <f t="shared" si="21"/>
        <v>0</v>
      </c>
      <c r="Q189" s="473"/>
    </row>
    <row r="190" spans="1:17">
      <c r="C190" s="508">
        <f>IF(D182="","-",+C189+1)</f>
        <v>2013</v>
      </c>
      <c r="D190" s="471">
        <f t="shared" si="22"/>
        <v>2417329.5721428571</v>
      </c>
      <c r="E190" s="515">
        <f t="shared" ref="E190:E247" si="23">IF(D190&gt;$J$185,$J$185,D190)</f>
        <v>58959.25785714286</v>
      </c>
      <c r="F190" s="515">
        <f t="shared" si="16"/>
        <v>2358370.3142857142</v>
      </c>
      <c r="G190" s="471">
        <f t="shared" si="17"/>
        <v>2387849.9432142857</v>
      </c>
      <c r="H190" s="509">
        <f>+J183*G190+E190</f>
        <v>322051.42608402285</v>
      </c>
      <c r="I190" s="516">
        <f>+J184*G190+E190</f>
        <v>322051.42608402285</v>
      </c>
      <c r="J190" s="512">
        <f t="shared" si="18"/>
        <v>0</v>
      </c>
      <c r="K190" s="512"/>
      <c r="L190" s="517">
        <v>41778</v>
      </c>
      <c r="M190" s="512">
        <f t="shared" si="19"/>
        <v>280273.42608402285</v>
      </c>
      <c r="N190" s="517">
        <v>41778</v>
      </c>
      <c r="O190" s="512">
        <f t="shared" si="20"/>
        <v>280273.42608402285</v>
      </c>
      <c r="P190" s="512">
        <f t="shared" si="21"/>
        <v>0</v>
      </c>
      <c r="Q190" s="473"/>
    </row>
    <row r="191" spans="1:17">
      <c r="C191" s="508">
        <f>IF(D182="","-",+C190+1)</f>
        <v>2014</v>
      </c>
      <c r="D191" s="471">
        <f t="shared" si="22"/>
        <v>2358370.3142857142</v>
      </c>
      <c r="E191" s="515">
        <f t="shared" si="23"/>
        <v>58959.25785714286</v>
      </c>
      <c r="F191" s="515">
        <f t="shared" si="16"/>
        <v>2299411.0564285712</v>
      </c>
      <c r="G191" s="471">
        <f t="shared" si="17"/>
        <v>2328890.6853571427</v>
      </c>
      <c r="H191" s="509">
        <f>+J183*G191+E191</f>
        <v>315555.32316484069</v>
      </c>
      <c r="I191" s="516">
        <f>+J184*G191+E191</f>
        <v>315555.32316484069</v>
      </c>
      <c r="J191" s="512">
        <f t="shared" si="18"/>
        <v>0</v>
      </c>
      <c r="K191" s="512"/>
      <c r="L191" s="517">
        <v>36470</v>
      </c>
      <c r="M191" s="512">
        <f t="shared" si="19"/>
        <v>279085.32316484069</v>
      </c>
      <c r="N191" s="517">
        <v>36470</v>
      </c>
      <c r="O191" s="512">
        <f t="shared" si="20"/>
        <v>279085.32316484069</v>
      </c>
      <c r="P191" s="512">
        <f t="shared" si="21"/>
        <v>0</v>
      </c>
      <c r="Q191" s="473"/>
    </row>
    <row r="192" spans="1:17">
      <c r="C192" s="508">
        <f>IF(D182="","-",+C191+1)</f>
        <v>2015</v>
      </c>
      <c r="D192" s="471">
        <f t="shared" si="22"/>
        <v>2299411.0564285712</v>
      </c>
      <c r="E192" s="515">
        <f t="shared" si="23"/>
        <v>58959.25785714286</v>
      </c>
      <c r="F192" s="515">
        <f t="shared" si="16"/>
        <v>2240451.7985714283</v>
      </c>
      <c r="G192" s="471">
        <f t="shared" si="17"/>
        <v>2269931.4274999998</v>
      </c>
      <c r="H192" s="509">
        <f>+J183*G192+E192</f>
        <v>309059.22024565842</v>
      </c>
      <c r="I192" s="516">
        <f>+J184*G192+E192</f>
        <v>309059.22024565842</v>
      </c>
      <c r="J192" s="512">
        <f t="shared" si="18"/>
        <v>0</v>
      </c>
      <c r="K192" s="512"/>
      <c r="L192" s="517">
        <v>36769</v>
      </c>
      <c r="M192" s="512">
        <f t="shared" si="19"/>
        <v>272290.22024565842</v>
      </c>
      <c r="N192" s="517">
        <v>36769</v>
      </c>
      <c r="O192" s="512">
        <f t="shared" si="20"/>
        <v>272290.22024565842</v>
      </c>
      <c r="P192" s="512">
        <f t="shared" si="21"/>
        <v>0</v>
      </c>
      <c r="Q192" s="473"/>
    </row>
    <row r="193" spans="3:17">
      <c r="C193" s="508">
        <f>IF(D182="","-",+C192+1)</f>
        <v>2016</v>
      </c>
      <c r="D193" s="471">
        <f t="shared" si="22"/>
        <v>2240451.7985714283</v>
      </c>
      <c r="E193" s="515">
        <f t="shared" si="23"/>
        <v>58959.25785714286</v>
      </c>
      <c r="F193" s="515">
        <f t="shared" si="16"/>
        <v>2181492.5407142853</v>
      </c>
      <c r="G193" s="471">
        <f t="shared" si="17"/>
        <v>2210972.1696428568</v>
      </c>
      <c r="H193" s="509">
        <f>+J183*G193+E193</f>
        <v>302563.1173264762</v>
      </c>
      <c r="I193" s="516">
        <f>+J184*G193+E193</f>
        <v>302563.1173264762</v>
      </c>
      <c r="J193" s="512">
        <f t="shared" si="18"/>
        <v>0</v>
      </c>
      <c r="K193" s="512"/>
      <c r="L193" s="517">
        <v>35303</v>
      </c>
      <c r="M193" s="512">
        <f t="shared" si="19"/>
        <v>267260.1173264762</v>
      </c>
      <c r="N193" s="517">
        <v>35303</v>
      </c>
      <c r="O193" s="512">
        <f t="shared" si="20"/>
        <v>267260.1173264762</v>
      </c>
      <c r="P193" s="512">
        <f t="shared" si="21"/>
        <v>0</v>
      </c>
      <c r="Q193" s="473"/>
    </row>
    <row r="194" spans="3:17">
      <c r="C194" s="508">
        <f>IF(D182="","-",+C193+1)</f>
        <v>2017</v>
      </c>
      <c r="D194" s="471">
        <f t="shared" si="22"/>
        <v>2181492.5407142853</v>
      </c>
      <c r="E194" s="515">
        <f t="shared" si="23"/>
        <v>58959.25785714286</v>
      </c>
      <c r="F194" s="515">
        <f t="shared" si="16"/>
        <v>2122533.2828571424</v>
      </c>
      <c r="G194" s="471">
        <f t="shared" si="17"/>
        <v>2152012.9117857139</v>
      </c>
      <c r="H194" s="509">
        <f>+J183*G194+E194</f>
        <v>296067.01440729399</v>
      </c>
      <c r="I194" s="516">
        <f>+J184*G194+E194</f>
        <v>296067.01440729399</v>
      </c>
      <c r="J194" s="512">
        <f t="shared" si="18"/>
        <v>0</v>
      </c>
      <c r="K194" s="512"/>
      <c r="L194" s="517">
        <v>331151</v>
      </c>
      <c r="M194" s="512">
        <f t="shared" si="19"/>
        <v>-35083.985592706013</v>
      </c>
      <c r="N194" s="517">
        <v>331151</v>
      </c>
      <c r="O194" s="512">
        <f t="shared" si="20"/>
        <v>-35083.985592706013</v>
      </c>
      <c r="P194" s="512">
        <f t="shared" si="21"/>
        <v>0</v>
      </c>
      <c r="Q194" s="473"/>
    </row>
    <row r="195" spans="3:17">
      <c r="C195" s="508">
        <f>IF(D182="","-",+C194+1)</f>
        <v>2018</v>
      </c>
      <c r="D195" s="471">
        <f t="shared" si="22"/>
        <v>2122533.2828571424</v>
      </c>
      <c r="E195" s="515">
        <f t="shared" si="23"/>
        <v>58959.25785714286</v>
      </c>
      <c r="F195" s="515">
        <f t="shared" si="16"/>
        <v>2063574.0249999994</v>
      </c>
      <c r="G195" s="471">
        <f t="shared" si="17"/>
        <v>2093053.6539285709</v>
      </c>
      <c r="H195" s="509">
        <f>+J183*G195+E195</f>
        <v>289570.91148811171</v>
      </c>
      <c r="I195" s="516">
        <f>+J184*G195+E195</f>
        <v>289570.91148811171</v>
      </c>
      <c r="J195" s="512">
        <f t="shared" si="18"/>
        <v>0</v>
      </c>
      <c r="K195" s="512"/>
      <c r="L195" s="517">
        <v>279967</v>
      </c>
      <c r="M195" s="512">
        <f t="shared" si="19"/>
        <v>9603.911488111713</v>
      </c>
      <c r="N195" s="517">
        <v>279967</v>
      </c>
      <c r="O195" s="512">
        <f t="shared" si="20"/>
        <v>9603.911488111713</v>
      </c>
      <c r="P195" s="512">
        <f t="shared" si="21"/>
        <v>0</v>
      </c>
      <c r="Q195" s="473"/>
    </row>
    <row r="196" spans="3:17">
      <c r="C196" s="508">
        <f>IF(D182="","-",+C195+1)</f>
        <v>2019</v>
      </c>
      <c r="D196" s="471">
        <f t="shared" si="22"/>
        <v>2063574.0249999994</v>
      </c>
      <c r="E196" s="515">
        <f t="shared" si="23"/>
        <v>58959.25785714286</v>
      </c>
      <c r="F196" s="515">
        <f t="shared" si="16"/>
        <v>2004614.7671428565</v>
      </c>
      <c r="G196" s="471">
        <f t="shared" si="17"/>
        <v>2034094.396071428</v>
      </c>
      <c r="H196" s="509">
        <f>+J183*G196+E196</f>
        <v>283074.8085689295</v>
      </c>
      <c r="I196" s="516">
        <f>+J184*G196+E196</f>
        <v>283074.8085689295</v>
      </c>
      <c r="J196" s="512">
        <f t="shared" si="18"/>
        <v>0</v>
      </c>
      <c r="K196" s="512"/>
      <c r="L196" s="517">
        <v>289092</v>
      </c>
      <c r="M196" s="512">
        <f t="shared" si="19"/>
        <v>-6017.1914310705033</v>
      </c>
      <c r="N196" s="517">
        <v>289092</v>
      </c>
      <c r="O196" s="512">
        <f t="shared" si="20"/>
        <v>-6017.1914310705033</v>
      </c>
      <c r="P196" s="512">
        <f t="shared" si="21"/>
        <v>0</v>
      </c>
      <c r="Q196" s="473"/>
    </row>
    <row r="197" spans="3:17">
      <c r="C197" s="508">
        <f>IF(D182="","-",+C196+1)</f>
        <v>2020</v>
      </c>
      <c r="D197" s="471">
        <f t="shared" si="22"/>
        <v>2004614.7671428565</v>
      </c>
      <c r="E197" s="515">
        <f t="shared" si="23"/>
        <v>58959.25785714286</v>
      </c>
      <c r="F197" s="515">
        <f t="shared" si="16"/>
        <v>1945655.5092857135</v>
      </c>
      <c r="G197" s="471">
        <f t="shared" si="17"/>
        <v>1975135.138214285</v>
      </c>
      <c r="H197" s="509">
        <f>+J183*G197+E197</f>
        <v>276578.70564974728</v>
      </c>
      <c r="I197" s="516">
        <f>+J184*G197+E197</f>
        <v>276578.70564974728</v>
      </c>
      <c r="J197" s="512">
        <f t="shared" si="18"/>
        <v>0</v>
      </c>
      <c r="K197" s="512"/>
      <c r="L197" s="517">
        <v>263834.05915473064</v>
      </c>
      <c r="M197" s="512">
        <f t="shared" si="19"/>
        <v>12744.646495016641</v>
      </c>
      <c r="N197" s="517">
        <v>263834.05915473064</v>
      </c>
      <c r="O197" s="512">
        <f t="shared" si="20"/>
        <v>12744.646495016641</v>
      </c>
      <c r="P197" s="512">
        <f t="shared" si="21"/>
        <v>0</v>
      </c>
      <c r="Q197" s="473"/>
    </row>
    <row r="198" spans="3:17">
      <c r="C198" s="508">
        <f>IF(D182="","-",+C197+1)</f>
        <v>2021</v>
      </c>
      <c r="D198" s="471">
        <f t="shared" si="22"/>
        <v>1945655.5092857135</v>
      </c>
      <c r="E198" s="515">
        <f t="shared" si="23"/>
        <v>58959.25785714286</v>
      </c>
      <c r="F198" s="515">
        <f t="shared" si="16"/>
        <v>1886696.2514285706</v>
      </c>
      <c r="G198" s="471">
        <f t="shared" si="17"/>
        <v>1916175.8803571421</v>
      </c>
      <c r="H198" s="509">
        <f>+J183*G198+E198</f>
        <v>270082.60273056501</v>
      </c>
      <c r="I198" s="516">
        <f>+J184*G198+E198</f>
        <v>270082.60273056501</v>
      </c>
      <c r="J198" s="512">
        <f t="shared" si="18"/>
        <v>0</v>
      </c>
      <c r="K198" s="512"/>
      <c r="L198" s="517">
        <v>256948.46047491327</v>
      </c>
      <c r="M198" s="512">
        <f t="shared" si="19"/>
        <v>13134.142255651735</v>
      </c>
      <c r="N198" s="517">
        <v>256948.46047491327</v>
      </c>
      <c r="O198" s="512">
        <f t="shared" si="20"/>
        <v>13134.142255651735</v>
      </c>
      <c r="P198" s="512">
        <f t="shared" si="21"/>
        <v>0</v>
      </c>
      <c r="Q198" s="473"/>
    </row>
    <row r="199" spans="3:17">
      <c r="C199" s="508">
        <f>IF(D182="","-",+C198+1)</f>
        <v>2022</v>
      </c>
      <c r="D199" s="471">
        <f t="shared" si="22"/>
        <v>1886696.2514285706</v>
      </c>
      <c r="E199" s="515">
        <f t="shared" si="23"/>
        <v>58959.25785714286</v>
      </c>
      <c r="F199" s="515">
        <f t="shared" si="16"/>
        <v>1827736.9935714277</v>
      </c>
      <c r="G199" s="471">
        <f t="shared" si="17"/>
        <v>1857216.6224999991</v>
      </c>
      <c r="H199" s="509">
        <f>+J183*G199+E199</f>
        <v>263586.49981138279</v>
      </c>
      <c r="I199" s="516">
        <f>+J184*G199+E199</f>
        <v>263586.49981138279</v>
      </c>
      <c r="J199" s="512">
        <f t="shared" si="18"/>
        <v>0</v>
      </c>
      <c r="K199" s="512"/>
      <c r="L199" s="517">
        <v>252846.28381541997</v>
      </c>
      <c r="M199" s="512">
        <f t="shared" si="19"/>
        <v>10740.215995962819</v>
      </c>
      <c r="N199" s="517">
        <v>252846.28381541997</v>
      </c>
      <c r="O199" s="512">
        <f t="shared" si="20"/>
        <v>10740.215995962819</v>
      </c>
      <c r="P199" s="512">
        <f t="shared" si="21"/>
        <v>0</v>
      </c>
      <c r="Q199" s="473"/>
    </row>
    <row r="200" spans="3:17">
      <c r="C200" s="508">
        <f>IF(D182="","-",+C199+1)</f>
        <v>2023</v>
      </c>
      <c r="D200" s="471">
        <f t="shared" si="22"/>
        <v>1827736.9935714277</v>
      </c>
      <c r="E200" s="515">
        <f t="shared" si="23"/>
        <v>58959.25785714286</v>
      </c>
      <c r="F200" s="515">
        <f t="shared" si="16"/>
        <v>1768777.7357142847</v>
      </c>
      <c r="G200" s="471">
        <f t="shared" si="17"/>
        <v>1798257.3646428562</v>
      </c>
      <c r="H200" s="509">
        <f>+J183*G200+E200</f>
        <v>257090.39689220057</v>
      </c>
      <c r="I200" s="516">
        <f>+J184*G200+E200</f>
        <v>257090.39689220057</v>
      </c>
      <c r="J200" s="512">
        <f t="shared" si="18"/>
        <v>0</v>
      </c>
      <c r="K200" s="512"/>
      <c r="L200" s="517">
        <v>257953.51092247805</v>
      </c>
      <c r="M200" s="512">
        <f t="shared" si="19"/>
        <v>-863.11403027747292</v>
      </c>
      <c r="N200" s="517">
        <v>257953.51092247805</v>
      </c>
      <c r="O200" s="512">
        <f t="shared" si="20"/>
        <v>-863.11403027747292</v>
      </c>
      <c r="P200" s="512">
        <f t="shared" si="21"/>
        <v>0</v>
      </c>
      <c r="Q200" s="473"/>
    </row>
    <row r="201" spans="3:17">
      <c r="C201" s="508">
        <f>IF(D182="","-",+C200+1)</f>
        <v>2024</v>
      </c>
      <c r="D201" s="471">
        <f t="shared" si="22"/>
        <v>1768777.7357142847</v>
      </c>
      <c r="E201" s="515">
        <f t="shared" si="23"/>
        <v>58959.25785714286</v>
      </c>
      <c r="F201" s="515">
        <f t="shared" si="16"/>
        <v>1709818.4778571418</v>
      </c>
      <c r="G201" s="471">
        <f t="shared" si="17"/>
        <v>1739298.1067857132</v>
      </c>
      <c r="H201" s="509">
        <f>+J183*G201+E201</f>
        <v>250594.29397301833</v>
      </c>
      <c r="I201" s="516">
        <f>+J184*G201+E201</f>
        <v>250594.29397301833</v>
      </c>
      <c r="J201" s="512">
        <f t="shared" si="18"/>
        <v>0</v>
      </c>
      <c r="K201" s="512"/>
      <c r="L201" s="517">
        <v>251536.31629517046</v>
      </c>
      <c r="M201" s="512">
        <f t="shared" si="19"/>
        <v>-942.02232215213007</v>
      </c>
      <c r="N201" s="517">
        <v>251536.31629517046</v>
      </c>
      <c r="O201" s="512">
        <f t="shared" si="20"/>
        <v>-942.02232215213007</v>
      </c>
      <c r="P201" s="512">
        <f t="shared" si="21"/>
        <v>0</v>
      </c>
      <c r="Q201" s="473"/>
    </row>
    <row r="202" spans="3:17">
      <c r="C202" s="508">
        <f>IF(D182="","-",+C201+1)</f>
        <v>2025</v>
      </c>
      <c r="D202" s="471">
        <f t="shared" si="22"/>
        <v>1709818.4778571418</v>
      </c>
      <c r="E202" s="515">
        <f t="shared" si="23"/>
        <v>58959.25785714286</v>
      </c>
      <c r="F202" s="515">
        <f t="shared" si="16"/>
        <v>1650859.2199999988</v>
      </c>
      <c r="G202" s="471">
        <f t="shared" si="17"/>
        <v>1680338.8489285703</v>
      </c>
      <c r="H202" s="509">
        <f>+J183*G202+E202</f>
        <v>244098.19105383608</v>
      </c>
      <c r="I202" s="516">
        <f>+J184*G202+E202</f>
        <v>244098.19105383608</v>
      </c>
      <c r="J202" s="512">
        <f t="shared" si="18"/>
        <v>0</v>
      </c>
      <c r="K202" s="512"/>
      <c r="L202" s="517">
        <v>245343.92585185828</v>
      </c>
      <c r="M202" s="512">
        <f t="shared" si="19"/>
        <v>-1245.7347980221966</v>
      </c>
      <c r="N202" s="517">
        <v>245343.92585185828</v>
      </c>
      <c r="O202" s="512">
        <f t="shared" si="20"/>
        <v>-1245.7347980221966</v>
      </c>
      <c r="P202" s="512">
        <f t="shared" si="21"/>
        <v>0</v>
      </c>
      <c r="Q202" s="473"/>
    </row>
    <row r="203" spans="3:17">
      <c r="C203" s="508">
        <f>IF(D182="","-",+C202+1)</f>
        <v>2026</v>
      </c>
      <c r="D203" s="471">
        <f t="shared" si="22"/>
        <v>1650859.2199999988</v>
      </c>
      <c r="E203" s="515">
        <f t="shared" si="23"/>
        <v>58959.25785714286</v>
      </c>
      <c r="F203" s="515">
        <f t="shared" si="16"/>
        <v>1591899.9621428559</v>
      </c>
      <c r="G203" s="471">
        <f t="shared" si="17"/>
        <v>1621379.5910714273</v>
      </c>
      <c r="H203" s="509">
        <f>+J183*G203+E203</f>
        <v>237602.08813465387</v>
      </c>
      <c r="I203" s="516">
        <f>+J184*G203+E203</f>
        <v>237602.08813465387</v>
      </c>
      <c r="J203" s="512">
        <f t="shared" si="18"/>
        <v>0</v>
      </c>
      <c r="K203" s="512"/>
      <c r="L203" s="517"/>
      <c r="M203" s="512">
        <f t="shared" si="19"/>
        <v>0</v>
      </c>
      <c r="N203" s="517"/>
      <c r="O203" s="512">
        <f t="shared" si="20"/>
        <v>0</v>
      </c>
      <c r="P203" s="512">
        <f t="shared" si="21"/>
        <v>0</v>
      </c>
      <c r="Q203" s="473"/>
    </row>
    <row r="204" spans="3:17">
      <c r="C204" s="508">
        <f>IF(D182="","-",+C203+1)</f>
        <v>2027</v>
      </c>
      <c r="D204" s="471">
        <f t="shared" si="22"/>
        <v>1591899.9621428559</v>
      </c>
      <c r="E204" s="515">
        <f t="shared" si="23"/>
        <v>58959.25785714286</v>
      </c>
      <c r="F204" s="515">
        <f t="shared" si="16"/>
        <v>1532940.7042857129</v>
      </c>
      <c r="G204" s="471">
        <f t="shared" si="17"/>
        <v>1562420.3332142844</v>
      </c>
      <c r="H204" s="509">
        <f>+J183*G204+E204</f>
        <v>231105.98521547162</v>
      </c>
      <c r="I204" s="516">
        <f>+J184*G204+E204</f>
        <v>231105.98521547162</v>
      </c>
      <c r="J204" s="512">
        <f t="shared" si="18"/>
        <v>0</v>
      </c>
      <c r="K204" s="512"/>
      <c r="L204" s="517"/>
      <c r="M204" s="512">
        <f t="shared" si="19"/>
        <v>0</v>
      </c>
      <c r="N204" s="517"/>
      <c r="O204" s="512">
        <f t="shared" si="20"/>
        <v>0</v>
      </c>
      <c r="P204" s="512">
        <f t="shared" si="21"/>
        <v>0</v>
      </c>
      <c r="Q204" s="473"/>
    </row>
    <row r="205" spans="3:17">
      <c r="C205" s="508">
        <f>IF(D182="","-",+C204+1)</f>
        <v>2028</v>
      </c>
      <c r="D205" s="471">
        <f t="shared" si="22"/>
        <v>1532940.7042857129</v>
      </c>
      <c r="E205" s="515">
        <f t="shared" si="23"/>
        <v>58959.25785714286</v>
      </c>
      <c r="F205" s="515">
        <f t="shared" si="16"/>
        <v>1473981.44642857</v>
      </c>
      <c r="G205" s="471">
        <f t="shared" si="17"/>
        <v>1503461.0753571414</v>
      </c>
      <c r="H205" s="509">
        <f>+J183*G205+E205</f>
        <v>224609.8822962894</v>
      </c>
      <c r="I205" s="516">
        <f>+J184*G205+E205</f>
        <v>224609.8822962894</v>
      </c>
      <c r="J205" s="512">
        <f t="shared" si="18"/>
        <v>0</v>
      </c>
      <c r="K205" s="512"/>
      <c r="L205" s="517"/>
      <c r="M205" s="512">
        <f t="shared" si="19"/>
        <v>0</v>
      </c>
      <c r="N205" s="517"/>
      <c r="O205" s="512">
        <f t="shared" si="20"/>
        <v>0</v>
      </c>
      <c r="P205" s="512">
        <f t="shared" si="21"/>
        <v>0</v>
      </c>
      <c r="Q205" s="473"/>
    </row>
    <row r="206" spans="3:17">
      <c r="C206" s="508">
        <f>IF(D182="","-",+C205+1)</f>
        <v>2029</v>
      </c>
      <c r="D206" s="471">
        <f t="shared" si="22"/>
        <v>1473981.44642857</v>
      </c>
      <c r="E206" s="515">
        <f t="shared" si="23"/>
        <v>58959.25785714286</v>
      </c>
      <c r="F206" s="515">
        <f t="shared" si="16"/>
        <v>1415022.188571427</v>
      </c>
      <c r="G206" s="471">
        <f t="shared" si="17"/>
        <v>1444501.8174999985</v>
      </c>
      <c r="H206" s="509">
        <f>+J183*G206+E206</f>
        <v>218113.77937710716</v>
      </c>
      <c r="I206" s="516">
        <f>+J184*G206+E206</f>
        <v>218113.77937710716</v>
      </c>
      <c r="J206" s="512">
        <f t="shared" si="18"/>
        <v>0</v>
      </c>
      <c r="K206" s="512"/>
      <c r="L206" s="517"/>
      <c r="M206" s="512">
        <f t="shared" si="19"/>
        <v>0</v>
      </c>
      <c r="N206" s="517"/>
      <c r="O206" s="512">
        <f t="shared" si="20"/>
        <v>0</v>
      </c>
      <c r="P206" s="512">
        <f t="shared" si="21"/>
        <v>0</v>
      </c>
      <c r="Q206" s="473"/>
    </row>
    <row r="207" spans="3:17">
      <c r="C207" s="508">
        <f>IF(D182="","-",+C206+1)</f>
        <v>2030</v>
      </c>
      <c r="D207" s="471">
        <f t="shared" si="22"/>
        <v>1415022.188571427</v>
      </c>
      <c r="E207" s="515">
        <f t="shared" si="23"/>
        <v>58959.25785714286</v>
      </c>
      <c r="F207" s="515">
        <f t="shared" si="16"/>
        <v>1356062.9307142841</v>
      </c>
      <c r="G207" s="471">
        <f t="shared" si="17"/>
        <v>1385542.5596428555</v>
      </c>
      <c r="H207" s="509">
        <f>+J183*G207+E207</f>
        <v>211617.67645792494</v>
      </c>
      <c r="I207" s="516">
        <f>+J184*G207+E207</f>
        <v>211617.67645792494</v>
      </c>
      <c r="J207" s="512">
        <f t="shared" si="18"/>
        <v>0</v>
      </c>
      <c r="K207" s="512"/>
      <c r="L207" s="517"/>
      <c r="M207" s="512">
        <f t="shared" si="19"/>
        <v>0</v>
      </c>
      <c r="N207" s="517"/>
      <c r="O207" s="512">
        <f t="shared" si="20"/>
        <v>0</v>
      </c>
      <c r="P207" s="512">
        <f t="shared" si="21"/>
        <v>0</v>
      </c>
      <c r="Q207" s="473"/>
    </row>
    <row r="208" spans="3:17">
      <c r="C208" s="508">
        <f>IF(D182="","-",+C207+1)</f>
        <v>2031</v>
      </c>
      <c r="D208" s="471">
        <f t="shared" si="22"/>
        <v>1356062.9307142841</v>
      </c>
      <c r="E208" s="515">
        <f t="shared" si="23"/>
        <v>58959.25785714286</v>
      </c>
      <c r="F208" s="515">
        <f t="shared" si="16"/>
        <v>1297103.6728571411</v>
      </c>
      <c r="G208" s="471">
        <f t="shared" si="17"/>
        <v>1326583.3017857126</v>
      </c>
      <c r="H208" s="509">
        <f>+J183*G208+E208</f>
        <v>205121.5735387427</v>
      </c>
      <c r="I208" s="516">
        <f>+J184*G208+E208</f>
        <v>205121.5735387427</v>
      </c>
      <c r="J208" s="512">
        <f t="shared" si="18"/>
        <v>0</v>
      </c>
      <c r="K208" s="512"/>
      <c r="L208" s="517"/>
      <c r="M208" s="512">
        <f t="shared" si="19"/>
        <v>0</v>
      </c>
      <c r="N208" s="517"/>
      <c r="O208" s="512">
        <f t="shared" si="20"/>
        <v>0</v>
      </c>
      <c r="P208" s="512">
        <f t="shared" si="21"/>
        <v>0</v>
      </c>
      <c r="Q208" s="473"/>
    </row>
    <row r="209" spans="3:17">
      <c r="C209" s="508">
        <f>IF(D182="","-",+C208+1)</f>
        <v>2032</v>
      </c>
      <c r="D209" s="471">
        <f t="shared" si="22"/>
        <v>1297103.6728571411</v>
      </c>
      <c r="E209" s="515">
        <f t="shared" si="23"/>
        <v>58959.25785714286</v>
      </c>
      <c r="F209" s="515">
        <f t="shared" si="16"/>
        <v>1238144.4149999982</v>
      </c>
      <c r="G209" s="471">
        <f t="shared" si="17"/>
        <v>1267624.0439285696</v>
      </c>
      <c r="H209" s="509">
        <f>+J183*G209+E209</f>
        <v>198625.47061956045</v>
      </c>
      <c r="I209" s="516">
        <f>+J184*G209+E209</f>
        <v>198625.47061956045</v>
      </c>
      <c r="J209" s="512">
        <f t="shared" si="18"/>
        <v>0</v>
      </c>
      <c r="K209" s="512"/>
      <c r="L209" s="517"/>
      <c r="M209" s="512">
        <f t="shared" si="19"/>
        <v>0</v>
      </c>
      <c r="N209" s="517"/>
      <c r="O209" s="512">
        <f t="shared" si="20"/>
        <v>0</v>
      </c>
      <c r="P209" s="512">
        <f t="shared" si="21"/>
        <v>0</v>
      </c>
      <c r="Q209" s="473"/>
    </row>
    <row r="210" spans="3:17">
      <c r="C210" s="508">
        <f>IF(D182="","-",+C209+1)</f>
        <v>2033</v>
      </c>
      <c r="D210" s="471">
        <f t="shared" si="22"/>
        <v>1238144.4149999982</v>
      </c>
      <c r="E210" s="515">
        <f t="shared" si="23"/>
        <v>58959.25785714286</v>
      </c>
      <c r="F210" s="515">
        <f t="shared" si="16"/>
        <v>1179185.1571428552</v>
      </c>
      <c r="G210" s="471">
        <f t="shared" si="17"/>
        <v>1208664.7860714267</v>
      </c>
      <c r="H210" s="509">
        <f>+J183*G210+E210</f>
        <v>192129.36770037824</v>
      </c>
      <c r="I210" s="516">
        <f>+J184*G210+E210</f>
        <v>192129.36770037824</v>
      </c>
      <c r="J210" s="512">
        <f t="shared" si="18"/>
        <v>0</v>
      </c>
      <c r="K210" s="512"/>
      <c r="L210" s="517"/>
      <c r="M210" s="512">
        <f t="shared" si="19"/>
        <v>0</v>
      </c>
      <c r="N210" s="517"/>
      <c r="O210" s="512">
        <f t="shared" si="20"/>
        <v>0</v>
      </c>
      <c r="P210" s="512">
        <f t="shared" si="21"/>
        <v>0</v>
      </c>
      <c r="Q210" s="473"/>
    </row>
    <row r="211" spans="3:17">
      <c r="C211" s="508">
        <f>IF(D182="","-",+C210+1)</f>
        <v>2034</v>
      </c>
      <c r="D211" s="471">
        <f t="shared" si="22"/>
        <v>1179185.1571428552</v>
      </c>
      <c r="E211" s="515">
        <f t="shared" si="23"/>
        <v>58959.25785714286</v>
      </c>
      <c r="F211" s="515">
        <f t="shared" si="16"/>
        <v>1120225.8992857123</v>
      </c>
      <c r="G211" s="471">
        <f t="shared" si="17"/>
        <v>1149705.5282142838</v>
      </c>
      <c r="H211" s="509">
        <f>+J183*G211+E211</f>
        <v>185633.26478119599</v>
      </c>
      <c r="I211" s="516">
        <f>+J184*G211+E211</f>
        <v>185633.26478119599</v>
      </c>
      <c r="J211" s="512">
        <f t="shared" si="18"/>
        <v>0</v>
      </c>
      <c r="K211" s="512"/>
      <c r="L211" s="517"/>
      <c r="M211" s="512">
        <f t="shared" si="19"/>
        <v>0</v>
      </c>
      <c r="N211" s="517"/>
      <c r="O211" s="512">
        <f t="shared" si="20"/>
        <v>0</v>
      </c>
      <c r="P211" s="512">
        <f t="shared" si="21"/>
        <v>0</v>
      </c>
      <c r="Q211" s="473"/>
    </row>
    <row r="212" spans="3:17">
      <c r="C212" s="508">
        <f>IF(D182="","-",+C211+1)</f>
        <v>2035</v>
      </c>
      <c r="D212" s="471">
        <f t="shared" si="22"/>
        <v>1120225.8992857123</v>
      </c>
      <c r="E212" s="515">
        <f t="shared" si="23"/>
        <v>58959.25785714286</v>
      </c>
      <c r="F212" s="515">
        <f t="shared" si="16"/>
        <v>1061266.6414285693</v>
      </c>
      <c r="G212" s="471">
        <f t="shared" si="17"/>
        <v>1090746.2703571408</v>
      </c>
      <c r="H212" s="509">
        <f>+J183*G212+E212</f>
        <v>179137.16186201375</v>
      </c>
      <c r="I212" s="516">
        <f>+J184*G212+E212</f>
        <v>179137.16186201375</v>
      </c>
      <c r="J212" s="512">
        <f t="shared" si="18"/>
        <v>0</v>
      </c>
      <c r="K212" s="512"/>
      <c r="L212" s="517"/>
      <c r="M212" s="512">
        <f t="shared" si="19"/>
        <v>0</v>
      </c>
      <c r="N212" s="517"/>
      <c r="O212" s="512">
        <f t="shared" si="20"/>
        <v>0</v>
      </c>
      <c r="P212" s="512">
        <f t="shared" si="21"/>
        <v>0</v>
      </c>
      <c r="Q212" s="473"/>
    </row>
    <row r="213" spans="3:17">
      <c r="C213" s="508">
        <f>IF(D182="","-",+C212+1)</f>
        <v>2036</v>
      </c>
      <c r="D213" s="471">
        <f t="shared" si="22"/>
        <v>1061266.6414285693</v>
      </c>
      <c r="E213" s="515">
        <f t="shared" si="23"/>
        <v>58959.25785714286</v>
      </c>
      <c r="F213" s="515">
        <f t="shared" si="16"/>
        <v>1002307.3835714265</v>
      </c>
      <c r="G213" s="471">
        <f t="shared" si="17"/>
        <v>1031787.0124999979</v>
      </c>
      <c r="H213" s="509">
        <f>+J183*G213+E213</f>
        <v>172641.05894283153</v>
      </c>
      <c r="I213" s="516">
        <f>+J184*G213+E213</f>
        <v>172641.05894283153</v>
      </c>
      <c r="J213" s="512">
        <f t="shared" si="18"/>
        <v>0</v>
      </c>
      <c r="K213" s="512"/>
      <c r="L213" s="517"/>
      <c r="M213" s="512">
        <f t="shared" si="19"/>
        <v>0</v>
      </c>
      <c r="N213" s="517"/>
      <c r="O213" s="512">
        <f t="shared" si="20"/>
        <v>0</v>
      </c>
      <c r="P213" s="512">
        <f t="shared" si="21"/>
        <v>0</v>
      </c>
      <c r="Q213" s="473"/>
    </row>
    <row r="214" spans="3:17">
      <c r="C214" s="508">
        <f>IF(D182="","-",+C213+1)</f>
        <v>2037</v>
      </c>
      <c r="D214" s="471">
        <f t="shared" si="22"/>
        <v>1002307.3835714265</v>
      </c>
      <c r="E214" s="515">
        <f t="shared" si="23"/>
        <v>58959.25785714286</v>
      </c>
      <c r="F214" s="515">
        <f t="shared" si="16"/>
        <v>943348.12571428367</v>
      </c>
      <c r="G214" s="471">
        <f t="shared" si="17"/>
        <v>972827.75464285514</v>
      </c>
      <c r="H214" s="509">
        <f>+J183*G214+E214</f>
        <v>166144.95602364931</v>
      </c>
      <c r="I214" s="516">
        <f>+J184*G214+E214</f>
        <v>166144.95602364931</v>
      </c>
      <c r="J214" s="512">
        <f t="shared" si="18"/>
        <v>0</v>
      </c>
      <c r="K214" s="512"/>
      <c r="L214" s="517"/>
      <c r="M214" s="512">
        <f t="shared" si="19"/>
        <v>0</v>
      </c>
      <c r="N214" s="517"/>
      <c r="O214" s="512">
        <f t="shared" si="20"/>
        <v>0</v>
      </c>
      <c r="P214" s="512">
        <f t="shared" si="21"/>
        <v>0</v>
      </c>
      <c r="Q214" s="473"/>
    </row>
    <row r="215" spans="3:17">
      <c r="C215" s="508">
        <f>IF(D182="","-",+C214+1)</f>
        <v>2038</v>
      </c>
      <c r="D215" s="471">
        <f t="shared" si="22"/>
        <v>943348.12571428367</v>
      </c>
      <c r="E215" s="515">
        <f t="shared" si="23"/>
        <v>58959.25785714286</v>
      </c>
      <c r="F215" s="515">
        <f t="shared" si="16"/>
        <v>884388.86785714084</v>
      </c>
      <c r="G215" s="471">
        <f t="shared" si="17"/>
        <v>913868.4967857122</v>
      </c>
      <c r="H215" s="509">
        <f>+J183*G215+E215</f>
        <v>159648.8531044671</v>
      </c>
      <c r="I215" s="516">
        <f>+J184*G215+E215</f>
        <v>159648.8531044671</v>
      </c>
      <c r="J215" s="512">
        <f t="shared" si="18"/>
        <v>0</v>
      </c>
      <c r="K215" s="512"/>
      <c r="L215" s="517"/>
      <c r="M215" s="512">
        <f t="shared" si="19"/>
        <v>0</v>
      </c>
      <c r="N215" s="517"/>
      <c r="O215" s="512">
        <f t="shared" si="20"/>
        <v>0</v>
      </c>
      <c r="P215" s="512">
        <f t="shared" si="21"/>
        <v>0</v>
      </c>
      <c r="Q215" s="473"/>
    </row>
    <row r="216" spans="3:17">
      <c r="C216" s="508">
        <f>IF(D182="","-",+C215+1)</f>
        <v>2039</v>
      </c>
      <c r="D216" s="471">
        <f t="shared" si="22"/>
        <v>884388.86785714084</v>
      </c>
      <c r="E216" s="515">
        <f t="shared" si="23"/>
        <v>58959.25785714286</v>
      </c>
      <c r="F216" s="515">
        <f t="shared" si="16"/>
        <v>825429.60999999801</v>
      </c>
      <c r="G216" s="471">
        <f t="shared" si="17"/>
        <v>854909.23892856948</v>
      </c>
      <c r="H216" s="509">
        <f>+J183*G216+E216</f>
        <v>153152.75018528488</v>
      </c>
      <c r="I216" s="516">
        <f>+J184*G216+E216</f>
        <v>153152.75018528488</v>
      </c>
      <c r="J216" s="512">
        <f t="shared" si="18"/>
        <v>0</v>
      </c>
      <c r="K216" s="512"/>
      <c r="L216" s="517"/>
      <c r="M216" s="512">
        <f t="shared" si="19"/>
        <v>0</v>
      </c>
      <c r="N216" s="517"/>
      <c r="O216" s="512">
        <f t="shared" si="20"/>
        <v>0</v>
      </c>
      <c r="P216" s="512">
        <f t="shared" si="21"/>
        <v>0</v>
      </c>
      <c r="Q216" s="473"/>
    </row>
    <row r="217" spans="3:17">
      <c r="C217" s="508">
        <f>IF(D182="","-",+C216+1)</f>
        <v>2040</v>
      </c>
      <c r="D217" s="471">
        <f t="shared" si="22"/>
        <v>825429.60999999801</v>
      </c>
      <c r="E217" s="515">
        <f t="shared" si="23"/>
        <v>58959.25785714286</v>
      </c>
      <c r="F217" s="515">
        <f t="shared" si="16"/>
        <v>766470.35214285518</v>
      </c>
      <c r="G217" s="471">
        <f t="shared" si="17"/>
        <v>795949.98107142653</v>
      </c>
      <c r="H217" s="509">
        <f>+J183*G217+E217</f>
        <v>146656.64726610266</v>
      </c>
      <c r="I217" s="516">
        <f>+J184*G217+E217</f>
        <v>146656.64726610266</v>
      </c>
      <c r="J217" s="512">
        <f t="shared" si="18"/>
        <v>0</v>
      </c>
      <c r="K217" s="512"/>
      <c r="L217" s="517"/>
      <c r="M217" s="512">
        <f t="shared" si="19"/>
        <v>0</v>
      </c>
      <c r="N217" s="517"/>
      <c r="O217" s="512">
        <f t="shared" si="20"/>
        <v>0</v>
      </c>
      <c r="P217" s="512">
        <f t="shared" si="21"/>
        <v>0</v>
      </c>
      <c r="Q217" s="473"/>
    </row>
    <row r="218" spans="3:17">
      <c r="C218" s="508">
        <f>IF(D182="","-",+C217+1)</f>
        <v>2041</v>
      </c>
      <c r="D218" s="471">
        <f t="shared" si="22"/>
        <v>766470.35214285518</v>
      </c>
      <c r="E218" s="515">
        <f t="shared" si="23"/>
        <v>58959.25785714286</v>
      </c>
      <c r="F218" s="515">
        <f t="shared" si="16"/>
        <v>707511.09428571234</v>
      </c>
      <c r="G218" s="471">
        <f t="shared" si="17"/>
        <v>736990.72321428382</v>
      </c>
      <c r="H218" s="509">
        <f>+J183*G218+E218</f>
        <v>140160.54434692045</v>
      </c>
      <c r="I218" s="516">
        <f>+J184*G218+E218</f>
        <v>140160.54434692045</v>
      </c>
      <c r="J218" s="512">
        <f t="shared" si="18"/>
        <v>0</v>
      </c>
      <c r="K218" s="512"/>
      <c r="L218" s="517"/>
      <c r="M218" s="512">
        <f t="shared" si="19"/>
        <v>0</v>
      </c>
      <c r="N218" s="517"/>
      <c r="O218" s="512">
        <f t="shared" si="20"/>
        <v>0</v>
      </c>
      <c r="P218" s="512">
        <f t="shared" si="21"/>
        <v>0</v>
      </c>
      <c r="Q218" s="473"/>
    </row>
    <row r="219" spans="3:17">
      <c r="C219" s="508">
        <f>IF(D182="","-",+C218+1)</f>
        <v>2042</v>
      </c>
      <c r="D219" s="471">
        <f t="shared" si="22"/>
        <v>707511.09428571234</v>
      </c>
      <c r="E219" s="515">
        <f t="shared" si="23"/>
        <v>58959.25785714286</v>
      </c>
      <c r="F219" s="515">
        <f t="shared" si="16"/>
        <v>648551.83642856951</v>
      </c>
      <c r="G219" s="471">
        <f t="shared" si="17"/>
        <v>678031.46535714087</v>
      </c>
      <c r="H219" s="509">
        <f>+J183*G219+E219</f>
        <v>133664.4414277382</v>
      </c>
      <c r="I219" s="516">
        <f>+J184*G219+E219</f>
        <v>133664.4414277382</v>
      </c>
      <c r="J219" s="512">
        <f t="shared" si="18"/>
        <v>0</v>
      </c>
      <c r="K219" s="512"/>
      <c r="L219" s="517"/>
      <c r="M219" s="512">
        <f t="shared" si="19"/>
        <v>0</v>
      </c>
      <c r="N219" s="517"/>
      <c r="O219" s="512">
        <f t="shared" si="20"/>
        <v>0</v>
      </c>
      <c r="P219" s="512">
        <f t="shared" si="21"/>
        <v>0</v>
      </c>
      <c r="Q219" s="473"/>
    </row>
    <row r="220" spans="3:17">
      <c r="C220" s="508">
        <f>IF(D182="","-",+C219+1)</f>
        <v>2043</v>
      </c>
      <c r="D220" s="471">
        <f t="shared" si="22"/>
        <v>648551.83642856951</v>
      </c>
      <c r="E220" s="515">
        <f t="shared" si="23"/>
        <v>58959.25785714286</v>
      </c>
      <c r="F220" s="515">
        <f t="shared" si="16"/>
        <v>589592.57857142668</v>
      </c>
      <c r="G220" s="471">
        <f t="shared" si="17"/>
        <v>619072.20749999816</v>
      </c>
      <c r="H220" s="509">
        <f>+J183*G220+E220</f>
        <v>127168.338508556</v>
      </c>
      <c r="I220" s="516">
        <f>+J184*G220+E220</f>
        <v>127168.338508556</v>
      </c>
      <c r="J220" s="512">
        <f t="shared" si="18"/>
        <v>0</v>
      </c>
      <c r="K220" s="512"/>
      <c r="L220" s="517"/>
      <c r="M220" s="512">
        <f t="shared" si="19"/>
        <v>0</v>
      </c>
      <c r="N220" s="517"/>
      <c r="O220" s="512">
        <f t="shared" si="20"/>
        <v>0</v>
      </c>
      <c r="P220" s="512">
        <f t="shared" si="21"/>
        <v>0</v>
      </c>
      <c r="Q220" s="473"/>
    </row>
    <row r="221" spans="3:17">
      <c r="C221" s="508">
        <f>IF(D182="","-",+C220+1)</f>
        <v>2044</v>
      </c>
      <c r="D221" s="471">
        <f t="shared" si="22"/>
        <v>589592.57857142668</v>
      </c>
      <c r="E221" s="515">
        <f t="shared" si="23"/>
        <v>58959.25785714286</v>
      </c>
      <c r="F221" s="515">
        <f t="shared" si="16"/>
        <v>530633.32071428385</v>
      </c>
      <c r="G221" s="471">
        <f t="shared" si="17"/>
        <v>560112.94964285521</v>
      </c>
      <c r="H221" s="509">
        <f>+J183*G221+E221</f>
        <v>120672.23558937377</v>
      </c>
      <c r="I221" s="516">
        <f>+J184*G221+E221</f>
        <v>120672.23558937377</v>
      </c>
      <c r="J221" s="512">
        <f t="shared" si="18"/>
        <v>0</v>
      </c>
      <c r="K221" s="512"/>
      <c r="L221" s="517"/>
      <c r="M221" s="512">
        <f t="shared" si="19"/>
        <v>0</v>
      </c>
      <c r="N221" s="517"/>
      <c r="O221" s="512">
        <f t="shared" si="20"/>
        <v>0</v>
      </c>
      <c r="P221" s="512">
        <f t="shared" si="21"/>
        <v>0</v>
      </c>
      <c r="Q221" s="473"/>
    </row>
    <row r="222" spans="3:17">
      <c r="C222" s="508">
        <f>IF(D182="","-",+C221+1)</f>
        <v>2045</v>
      </c>
      <c r="D222" s="471">
        <f t="shared" si="22"/>
        <v>530633.32071428385</v>
      </c>
      <c r="E222" s="515">
        <f t="shared" si="23"/>
        <v>58959.25785714286</v>
      </c>
      <c r="F222" s="515">
        <f t="shared" si="16"/>
        <v>471674.06285714102</v>
      </c>
      <c r="G222" s="471">
        <f t="shared" si="17"/>
        <v>501153.69178571244</v>
      </c>
      <c r="H222" s="509">
        <f>+J183*G222+E222</f>
        <v>114176.13267019155</v>
      </c>
      <c r="I222" s="516">
        <f>+J184*G222+E222</f>
        <v>114176.13267019155</v>
      </c>
      <c r="J222" s="512">
        <f t="shared" si="18"/>
        <v>0</v>
      </c>
      <c r="K222" s="512"/>
      <c r="L222" s="517"/>
      <c r="M222" s="512">
        <f t="shared" si="19"/>
        <v>0</v>
      </c>
      <c r="N222" s="517"/>
      <c r="O222" s="512">
        <f t="shared" si="20"/>
        <v>0</v>
      </c>
      <c r="P222" s="512">
        <f t="shared" si="21"/>
        <v>0</v>
      </c>
      <c r="Q222" s="473"/>
    </row>
    <row r="223" spans="3:17">
      <c r="C223" s="508">
        <f>IF(D182="","-",+C222+1)</f>
        <v>2046</v>
      </c>
      <c r="D223" s="471">
        <f t="shared" si="22"/>
        <v>471674.06285714102</v>
      </c>
      <c r="E223" s="515">
        <f t="shared" si="23"/>
        <v>58959.25785714286</v>
      </c>
      <c r="F223" s="515">
        <f t="shared" si="16"/>
        <v>412714.80499999819</v>
      </c>
      <c r="G223" s="471">
        <f t="shared" si="17"/>
        <v>442194.4339285696</v>
      </c>
      <c r="H223" s="509">
        <f>+J183*G223+E223</f>
        <v>107680.02975100934</v>
      </c>
      <c r="I223" s="516">
        <f>+J184*G223+E223</f>
        <v>107680.02975100934</v>
      </c>
      <c r="J223" s="512">
        <f t="shared" si="18"/>
        <v>0</v>
      </c>
      <c r="K223" s="512"/>
      <c r="L223" s="517"/>
      <c r="M223" s="512">
        <f t="shared" si="19"/>
        <v>0</v>
      </c>
      <c r="N223" s="517"/>
      <c r="O223" s="512">
        <f t="shared" si="20"/>
        <v>0</v>
      </c>
      <c r="P223" s="512">
        <f t="shared" si="21"/>
        <v>0</v>
      </c>
      <c r="Q223" s="473"/>
    </row>
    <row r="224" spans="3:17">
      <c r="C224" s="508">
        <f>IF(D182="","-",+C223+1)</f>
        <v>2047</v>
      </c>
      <c r="D224" s="471">
        <f t="shared" si="22"/>
        <v>412714.80499999819</v>
      </c>
      <c r="E224" s="515">
        <f t="shared" si="23"/>
        <v>58959.25785714286</v>
      </c>
      <c r="F224" s="515">
        <f t="shared" si="16"/>
        <v>353755.54714285536</v>
      </c>
      <c r="G224" s="471">
        <f t="shared" si="17"/>
        <v>383235.17607142677</v>
      </c>
      <c r="H224" s="509">
        <f>+J183*G224+E224</f>
        <v>101183.92683182712</v>
      </c>
      <c r="I224" s="516">
        <f>+J184*G224+E224</f>
        <v>101183.92683182712</v>
      </c>
      <c r="J224" s="512">
        <f t="shared" si="18"/>
        <v>0</v>
      </c>
      <c r="K224" s="512"/>
      <c r="L224" s="517"/>
      <c r="M224" s="512">
        <f t="shared" si="19"/>
        <v>0</v>
      </c>
      <c r="N224" s="517"/>
      <c r="O224" s="512">
        <f t="shared" si="20"/>
        <v>0</v>
      </c>
      <c r="P224" s="512">
        <f t="shared" si="21"/>
        <v>0</v>
      </c>
      <c r="Q224" s="473"/>
    </row>
    <row r="225" spans="3:17">
      <c r="C225" s="508">
        <f>IF(D182="","-",+C224+1)</f>
        <v>2048</v>
      </c>
      <c r="D225" s="471">
        <f t="shared" si="22"/>
        <v>353755.54714285536</v>
      </c>
      <c r="E225" s="515">
        <f t="shared" si="23"/>
        <v>58959.25785714286</v>
      </c>
      <c r="F225" s="515">
        <f t="shared" si="16"/>
        <v>294796.28928571253</v>
      </c>
      <c r="G225" s="471">
        <f t="shared" si="17"/>
        <v>324275.91821428394</v>
      </c>
      <c r="H225" s="509">
        <f>+J183*G225+E225</f>
        <v>94687.82391264489</v>
      </c>
      <c r="I225" s="516">
        <f>+J184*G225+E225</f>
        <v>94687.82391264489</v>
      </c>
      <c r="J225" s="512">
        <f t="shared" si="18"/>
        <v>0</v>
      </c>
      <c r="K225" s="512"/>
      <c r="L225" s="517"/>
      <c r="M225" s="512">
        <f t="shared" si="19"/>
        <v>0</v>
      </c>
      <c r="N225" s="517"/>
      <c r="O225" s="512">
        <f t="shared" si="20"/>
        <v>0</v>
      </c>
      <c r="P225" s="512">
        <f t="shared" si="21"/>
        <v>0</v>
      </c>
      <c r="Q225" s="473"/>
    </row>
    <row r="226" spans="3:17">
      <c r="C226" s="508">
        <f>IF(D182="","-",+C225+1)</f>
        <v>2049</v>
      </c>
      <c r="D226" s="471">
        <f t="shared" si="22"/>
        <v>294796.28928571253</v>
      </c>
      <c r="E226" s="515">
        <f t="shared" si="23"/>
        <v>58959.25785714286</v>
      </c>
      <c r="F226" s="515">
        <f t="shared" si="16"/>
        <v>235837.03142856967</v>
      </c>
      <c r="G226" s="471">
        <f t="shared" si="17"/>
        <v>265316.66035714111</v>
      </c>
      <c r="H226" s="509">
        <f>+J183*G226+E226</f>
        <v>88191.720993462674</v>
      </c>
      <c r="I226" s="516">
        <f>+J184*G226+E226</f>
        <v>88191.720993462674</v>
      </c>
      <c r="J226" s="512">
        <f t="shared" si="18"/>
        <v>0</v>
      </c>
      <c r="K226" s="512"/>
      <c r="L226" s="517"/>
      <c r="M226" s="512">
        <f t="shared" si="19"/>
        <v>0</v>
      </c>
      <c r="N226" s="517"/>
      <c r="O226" s="512">
        <f t="shared" si="20"/>
        <v>0</v>
      </c>
      <c r="P226" s="512">
        <f t="shared" si="21"/>
        <v>0</v>
      </c>
      <c r="Q226" s="473"/>
    </row>
    <row r="227" spans="3:17">
      <c r="C227" s="508">
        <f>IF(D182="","-",+C226+1)</f>
        <v>2050</v>
      </c>
      <c r="D227" s="471">
        <f t="shared" si="22"/>
        <v>235837.03142856967</v>
      </c>
      <c r="E227" s="515">
        <f t="shared" si="23"/>
        <v>58959.25785714286</v>
      </c>
      <c r="F227" s="515">
        <f t="shared" si="16"/>
        <v>176877.77357142681</v>
      </c>
      <c r="G227" s="471">
        <f t="shared" si="17"/>
        <v>206357.40249999822</v>
      </c>
      <c r="H227" s="509">
        <f>+J183*G227+E227</f>
        <v>81695.618074280443</v>
      </c>
      <c r="I227" s="516">
        <f>+J184*G227+E227</f>
        <v>81695.618074280443</v>
      </c>
      <c r="J227" s="512">
        <f t="shared" si="18"/>
        <v>0</v>
      </c>
      <c r="K227" s="512"/>
      <c r="L227" s="517"/>
      <c r="M227" s="512">
        <f t="shared" si="19"/>
        <v>0</v>
      </c>
      <c r="N227" s="517"/>
      <c r="O227" s="512">
        <f t="shared" si="20"/>
        <v>0</v>
      </c>
      <c r="P227" s="512">
        <f t="shared" si="21"/>
        <v>0</v>
      </c>
      <c r="Q227" s="473"/>
    </row>
    <row r="228" spans="3:17">
      <c r="C228" s="508">
        <f>IF(D182="","-",+C227+1)</f>
        <v>2051</v>
      </c>
      <c r="D228" s="471">
        <f t="shared" si="22"/>
        <v>176877.77357142681</v>
      </c>
      <c r="E228" s="515">
        <f t="shared" si="23"/>
        <v>58959.25785714286</v>
      </c>
      <c r="F228" s="515">
        <f t="shared" si="16"/>
        <v>117918.51571428395</v>
      </c>
      <c r="G228" s="471">
        <f t="shared" si="17"/>
        <v>147398.14464285539</v>
      </c>
      <c r="H228" s="509">
        <f>+J183*G228+E228</f>
        <v>75199.515155098226</v>
      </c>
      <c r="I228" s="516">
        <f>+J184*G228+E228</f>
        <v>75199.515155098226</v>
      </c>
      <c r="J228" s="512">
        <f t="shared" si="18"/>
        <v>0</v>
      </c>
      <c r="K228" s="512"/>
      <c r="L228" s="517"/>
      <c r="M228" s="512">
        <f t="shared" si="19"/>
        <v>0</v>
      </c>
      <c r="N228" s="517"/>
      <c r="O228" s="512">
        <f t="shared" si="20"/>
        <v>0</v>
      </c>
      <c r="P228" s="512">
        <f t="shared" si="21"/>
        <v>0</v>
      </c>
      <c r="Q228" s="473"/>
    </row>
    <row r="229" spans="3:17">
      <c r="C229" s="508">
        <f>IF(D182="","-",+C228+1)</f>
        <v>2052</v>
      </c>
      <c r="D229" s="471">
        <f t="shared" si="22"/>
        <v>117918.51571428395</v>
      </c>
      <c r="E229" s="515">
        <f t="shared" si="23"/>
        <v>58959.25785714286</v>
      </c>
      <c r="F229" s="515">
        <f t="shared" si="16"/>
        <v>58959.257857141085</v>
      </c>
      <c r="G229" s="471">
        <f t="shared" si="17"/>
        <v>88438.886785712515</v>
      </c>
      <c r="H229" s="509">
        <f>+J183*G229+E229</f>
        <v>68703.412235915996</v>
      </c>
      <c r="I229" s="516">
        <f>+J184*G229+E229</f>
        <v>68703.412235915996</v>
      </c>
      <c r="J229" s="512">
        <f t="shared" si="18"/>
        <v>0</v>
      </c>
      <c r="K229" s="512"/>
      <c r="L229" s="517"/>
      <c r="M229" s="512">
        <f t="shared" si="19"/>
        <v>0</v>
      </c>
      <c r="N229" s="517"/>
      <c r="O229" s="512">
        <f t="shared" si="20"/>
        <v>0</v>
      </c>
      <c r="P229" s="512">
        <f t="shared" si="21"/>
        <v>0</v>
      </c>
      <c r="Q229" s="473"/>
    </row>
    <row r="230" spans="3:17">
      <c r="C230" s="508">
        <f>IF(D182="","-",+C229+1)</f>
        <v>2053</v>
      </c>
      <c r="D230" s="471">
        <f t="shared" si="22"/>
        <v>58959.257857141085</v>
      </c>
      <c r="E230" s="515">
        <f t="shared" si="23"/>
        <v>58959.257857141085</v>
      </c>
      <c r="F230" s="515">
        <f t="shared" si="16"/>
        <v>0</v>
      </c>
      <c r="G230" s="471">
        <f t="shared" si="17"/>
        <v>29479.628928570542</v>
      </c>
      <c r="H230" s="509">
        <f>+J183*G230+E230</f>
        <v>62207.309316732099</v>
      </c>
      <c r="I230" s="516">
        <f>+J184*G230+E230</f>
        <v>62207.309316732099</v>
      </c>
      <c r="J230" s="512">
        <f t="shared" si="18"/>
        <v>0</v>
      </c>
      <c r="K230" s="512"/>
      <c r="L230" s="517"/>
      <c r="M230" s="512">
        <f t="shared" si="19"/>
        <v>0</v>
      </c>
      <c r="N230" s="517"/>
      <c r="O230" s="512">
        <f t="shared" si="20"/>
        <v>0</v>
      </c>
      <c r="P230" s="512">
        <f t="shared" si="21"/>
        <v>0</v>
      </c>
      <c r="Q230" s="473"/>
    </row>
    <row r="231" spans="3:17">
      <c r="C231" s="508">
        <f>IF(D182="","-",+C230+1)</f>
        <v>2054</v>
      </c>
      <c r="D231" s="471">
        <f t="shared" si="22"/>
        <v>0</v>
      </c>
      <c r="E231" s="515">
        <f t="shared" si="23"/>
        <v>0</v>
      </c>
      <c r="F231" s="515">
        <f t="shared" si="16"/>
        <v>0</v>
      </c>
      <c r="G231" s="471">
        <f t="shared" si="17"/>
        <v>0</v>
      </c>
      <c r="H231" s="509">
        <f>+J183*G231+E231</f>
        <v>0</v>
      </c>
      <c r="I231" s="516">
        <f>+J184*G231+E231</f>
        <v>0</v>
      </c>
      <c r="J231" s="512">
        <f t="shared" si="18"/>
        <v>0</v>
      </c>
      <c r="K231" s="512"/>
      <c r="L231" s="517"/>
      <c r="M231" s="512">
        <f t="shared" si="19"/>
        <v>0</v>
      </c>
      <c r="N231" s="517"/>
      <c r="O231" s="512">
        <f t="shared" si="20"/>
        <v>0</v>
      </c>
      <c r="P231" s="512">
        <f t="shared" si="21"/>
        <v>0</v>
      </c>
      <c r="Q231" s="473"/>
    </row>
    <row r="232" spans="3:17">
      <c r="C232" s="508">
        <f>IF(D182="","-",+C231+1)</f>
        <v>2055</v>
      </c>
      <c r="D232" s="471">
        <f t="shared" si="22"/>
        <v>0</v>
      </c>
      <c r="E232" s="515">
        <f t="shared" si="23"/>
        <v>0</v>
      </c>
      <c r="F232" s="515">
        <f t="shared" si="16"/>
        <v>0</v>
      </c>
      <c r="G232" s="471">
        <f t="shared" si="17"/>
        <v>0</v>
      </c>
      <c r="H232" s="509">
        <f>+J183*G232+E232</f>
        <v>0</v>
      </c>
      <c r="I232" s="516">
        <f>+J184*G232+E232</f>
        <v>0</v>
      </c>
      <c r="J232" s="512">
        <f t="shared" si="18"/>
        <v>0</v>
      </c>
      <c r="K232" s="512"/>
      <c r="L232" s="517"/>
      <c r="M232" s="512">
        <f t="shared" si="19"/>
        <v>0</v>
      </c>
      <c r="N232" s="517"/>
      <c r="O232" s="512">
        <f t="shared" si="20"/>
        <v>0</v>
      </c>
      <c r="P232" s="512">
        <f t="shared" si="21"/>
        <v>0</v>
      </c>
      <c r="Q232" s="473"/>
    </row>
    <row r="233" spans="3:17">
      <c r="C233" s="508">
        <f>IF(D182="","-",+C232+1)</f>
        <v>2056</v>
      </c>
      <c r="D233" s="471">
        <f t="shared" si="22"/>
        <v>0</v>
      </c>
      <c r="E233" s="515">
        <f t="shared" si="23"/>
        <v>0</v>
      </c>
      <c r="F233" s="515">
        <f t="shared" si="16"/>
        <v>0</v>
      </c>
      <c r="G233" s="471">
        <f t="shared" si="17"/>
        <v>0</v>
      </c>
      <c r="H233" s="509">
        <f>+J183*G233+E233</f>
        <v>0</v>
      </c>
      <c r="I233" s="516">
        <f>+J184*G233+E233</f>
        <v>0</v>
      </c>
      <c r="J233" s="512">
        <f t="shared" si="18"/>
        <v>0</v>
      </c>
      <c r="K233" s="512"/>
      <c r="L233" s="517"/>
      <c r="M233" s="512">
        <f t="shared" si="19"/>
        <v>0</v>
      </c>
      <c r="N233" s="517"/>
      <c r="O233" s="512">
        <f t="shared" si="20"/>
        <v>0</v>
      </c>
      <c r="P233" s="512">
        <f t="shared" si="21"/>
        <v>0</v>
      </c>
      <c r="Q233" s="473"/>
    </row>
    <row r="234" spans="3:17">
      <c r="C234" s="508">
        <f>IF(D182="","-",+C233+1)</f>
        <v>2057</v>
      </c>
      <c r="D234" s="471">
        <f t="shared" si="22"/>
        <v>0</v>
      </c>
      <c r="E234" s="515">
        <f t="shared" si="23"/>
        <v>0</v>
      </c>
      <c r="F234" s="515">
        <f t="shared" si="16"/>
        <v>0</v>
      </c>
      <c r="G234" s="471">
        <f t="shared" si="17"/>
        <v>0</v>
      </c>
      <c r="H234" s="509">
        <f>+J183*G234+E234</f>
        <v>0</v>
      </c>
      <c r="I234" s="516">
        <f>+J184*G234+E234</f>
        <v>0</v>
      </c>
      <c r="J234" s="512">
        <f t="shared" si="18"/>
        <v>0</v>
      </c>
      <c r="K234" s="512"/>
      <c r="L234" s="517"/>
      <c r="M234" s="512">
        <f t="shared" si="19"/>
        <v>0</v>
      </c>
      <c r="N234" s="517"/>
      <c r="O234" s="512">
        <f t="shared" si="20"/>
        <v>0</v>
      </c>
      <c r="P234" s="512">
        <f t="shared" si="21"/>
        <v>0</v>
      </c>
      <c r="Q234" s="473"/>
    </row>
    <row r="235" spans="3:17">
      <c r="C235" s="508">
        <f>IF(D182="","-",+C234+1)</f>
        <v>2058</v>
      </c>
      <c r="D235" s="471">
        <f t="shared" si="22"/>
        <v>0</v>
      </c>
      <c r="E235" s="515">
        <f t="shared" si="23"/>
        <v>0</v>
      </c>
      <c r="F235" s="515">
        <f t="shared" si="16"/>
        <v>0</v>
      </c>
      <c r="G235" s="471">
        <f t="shared" si="17"/>
        <v>0</v>
      </c>
      <c r="H235" s="509">
        <f>+J183*G235+E235</f>
        <v>0</v>
      </c>
      <c r="I235" s="516">
        <f>+J184*G235+E235</f>
        <v>0</v>
      </c>
      <c r="J235" s="512">
        <f t="shared" si="18"/>
        <v>0</v>
      </c>
      <c r="K235" s="512"/>
      <c r="L235" s="517"/>
      <c r="M235" s="512">
        <f t="shared" si="19"/>
        <v>0</v>
      </c>
      <c r="N235" s="517"/>
      <c r="O235" s="512">
        <f t="shared" si="20"/>
        <v>0</v>
      </c>
      <c r="P235" s="512">
        <f t="shared" si="21"/>
        <v>0</v>
      </c>
      <c r="Q235" s="473"/>
    </row>
    <row r="236" spans="3:17">
      <c r="C236" s="508">
        <f>IF(D182="","-",+C235+1)</f>
        <v>2059</v>
      </c>
      <c r="D236" s="471">
        <f t="shared" si="22"/>
        <v>0</v>
      </c>
      <c r="E236" s="515">
        <f t="shared" si="23"/>
        <v>0</v>
      </c>
      <c r="F236" s="515">
        <f t="shared" si="16"/>
        <v>0</v>
      </c>
      <c r="G236" s="471">
        <f t="shared" si="17"/>
        <v>0</v>
      </c>
      <c r="H236" s="509">
        <f>+J183*G236+E236</f>
        <v>0</v>
      </c>
      <c r="I236" s="516">
        <f>+J184*G236+E236</f>
        <v>0</v>
      </c>
      <c r="J236" s="512">
        <f t="shared" si="18"/>
        <v>0</v>
      </c>
      <c r="K236" s="512"/>
      <c r="L236" s="517"/>
      <c r="M236" s="512">
        <f t="shared" si="19"/>
        <v>0</v>
      </c>
      <c r="N236" s="517"/>
      <c r="O236" s="512">
        <f t="shared" si="20"/>
        <v>0</v>
      </c>
      <c r="P236" s="512">
        <f t="shared" si="21"/>
        <v>0</v>
      </c>
      <c r="Q236" s="473"/>
    </row>
    <row r="237" spans="3:17">
      <c r="C237" s="508">
        <f>IF(D182="","-",+C236+1)</f>
        <v>2060</v>
      </c>
      <c r="D237" s="471">
        <f t="shared" si="22"/>
        <v>0</v>
      </c>
      <c r="E237" s="515">
        <f t="shared" si="23"/>
        <v>0</v>
      </c>
      <c r="F237" s="515">
        <f t="shared" si="16"/>
        <v>0</v>
      </c>
      <c r="G237" s="471">
        <f t="shared" si="17"/>
        <v>0</v>
      </c>
      <c r="H237" s="509">
        <f>+J183*G237+E237</f>
        <v>0</v>
      </c>
      <c r="I237" s="516">
        <f>+J184*G237+E237</f>
        <v>0</v>
      </c>
      <c r="J237" s="512">
        <f t="shared" si="18"/>
        <v>0</v>
      </c>
      <c r="K237" s="512"/>
      <c r="L237" s="517"/>
      <c r="M237" s="512">
        <f t="shared" si="19"/>
        <v>0</v>
      </c>
      <c r="N237" s="517"/>
      <c r="O237" s="512">
        <f t="shared" si="20"/>
        <v>0</v>
      </c>
      <c r="P237" s="512">
        <f t="shared" si="21"/>
        <v>0</v>
      </c>
      <c r="Q237" s="473"/>
    </row>
    <row r="238" spans="3:17">
      <c r="C238" s="508">
        <f>IF(D182="","-",+C237+1)</f>
        <v>2061</v>
      </c>
      <c r="D238" s="471">
        <f t="shared" si="22"/>
        <v>0</v>
      </c>
      <c r="E238" s="515">
        <f t="shared" si="23"/>
        <v>0</v>
      </c>
      <c r="F238" s="515">
        <f t="shared" si="16"/>
        <v>0</v>
      </c>
      <c r="G238" s="471">
        <f t="shared" si="17"/>
        <v>0</v>
      </c>
      <c r="H238" s="509">
        <f>+J183*G238+E238</f>
        <v>0</v>
      </c>
      <c r="I238" s="516">
        <f>+J184*G238+E238</f>
        <v>0</v>
      </c>
      <c r="J238" s="512">
        <f t="shared" si="18"/>
        <v>0</v>
      </c>
      <c r="K238" s="512"/>
      <c r="L238" s="517"/>
      <c r="M238" s="512">
        <f t="shared" si="19"/>
        <v>0</v>
      </c>
      <c r="N238" s="517"/>
      <c r="O238" s="512">
        <f t="shared" si="20"/>
        <v>0</v>
      </c>
      <c r="P238" s="512">
        <f t="shared" si="21"/>
        <v>0</v>
      </c>
      <c r="Q238" s="473"/>
    </row>
    <row r="239" spans="3:17">
      <c r="C239" s="508">
        <f>IF(D182="","-",+C238+1)</f>
        <v>2062</v>
      </c>
      <c r="D239" s="471">
        <f t="shared" si="22"/>
        <v>0</v>
      </c>
      <c r="E239" s="515">
        <f t="shared" si="23"/>
        <v>0</v>
      </c>
      <c r="F239" s="515">
        <f t="shared" si="16"/>
        <v>0</v>
      </c>
      <c r="G239" s="471">
        <f t="shared" si="17"/>
        <v>0</v>
      </c>
      <c r="H239" s="509">
        <f>+J183*G239+E239</f>
        <v>0</v>
      </c>
      <c r="I239" s="516">
        <f>+J184*G239+E239</f>
        <v>0</v>
      </c>
      <c r="J239" s="512">
        <f t="shared" si="18"/>
        <v>0</v>
      </c>
      <c r="K239" s="512"/>
      <c r="L239" s="517"/>
      <c r="M239" s="512">
        <f t="shared" si="19"/>
        <v>0</v>
      </c>
      <c r="N239" s="517"/>
      <c r="O239" s="512">
        <f t="shared" si="20"/>
        <v>0</v>
      </c>
      <c r="P239" s="512">
        <f t="shared" si="21"/>
        <v>0</v>
      </c>
      <c r="Q239" s="473"/>
    </row>
    <row r="240" spans="3:17">
      <c r="C240" s="508">
        <f>IF(D182="","-",+C239+1)</f>
        <v>2063</v>
      </c>
      <c r="D240" s="471">
        <f t="shared" si="22"/>
        <v>0</v>
      </c>
      <c r="E240" s="515">
        <f t="shared" si="23"/>
        <v>0</v>
      </c>
      <c r="F240" s="515">
        <f t="shared" si="16"/>
        <v>0</v>
      </c>
      <c r="G240" s="471">
        <f t="shared" si="17"/>
        <v>0</v>
      </c>
      <c r="H240" s="509">
        <f>+J183*G240+E240</f>
        <v>0</v>
      </c>
      <c r="I240" s="516">
        <f>+J184*G240+E240</f>
        <v>0</v>
      </c>
      <c r="J240" s="512">
        <f t="shared" si="18"/>
        <v>0</v>
      </c>
      <c r="K240" s="512"/>
      <c r="L240" s="517"/>
      <c r="M240" s="512">
        <f t="shared" si="19"/>
        <v>0</v>
      </c>
      <c r="N240" s="517"/>
      <c r="O240" s="512">
        <f t="shared" si="20"/>
        <v>0</v>
      </c>
      <c r="P240" s="512">
        <f t="shared" si="21"/>
        <v>0</v>
      </c>
      <c r="Q240" s="473"/>
    </row>
    <row r="241" spans="1:17">
      <c r="C241" s="508">
        <f>IF(D182="","-",+C240+1)</f>
        <v>2064</v>
      </c>
      <c r="D241" s="471">
        <f t="shared" si="22"/>
        <v>0</v>
      </c>
      <c r="E241" s="515">
        <f t="shared" si="23"/>
        <v>0</v>
      </c>
      <c r="F241" s="515">
        <f t="shared" si="16"/>
        <v>0</v>
      </c>
      <c r="G241" s="471">
        <f t="shared" si="17"/>
        <v>0</v>
      </c>
      <c r="H241" s="509">
        <f>+J183*G241+E241</f>
        <v>0</v>
      </c>
      <c r="I241" s="516">
        <f>+J184*G241+E241</f>
        <v>0</v>
      </c>
      <c r="J241" s="512">
        <f t="shared" si="18"/>
        <v>0</v>
      </c>
      <c r="K241" s="512"/>
      <c r="L241" s="517"/>
      <c r="M241" s="512">
        <f t="shared" si="19"/>
        <v>0</v>
      </c>
      <c r="N241" s="517"/>
      <c r="O241" s="512">
        <f t="shared" si="20"/>
        <v>0</v>
      </c>
      <c r="P241" s="512">
        <f t="shared" si="21"/>
        <v>0</v>
      </c>
      <c r="Q241" s="473"/>
    </row>
    <row r="242" spans="1:17">
      <c r="C242" s="508">
        <f>IF(D182="","-",+C241+1)</f>
        <v>2065</v>
      </c>
      <c r="D242" s="471">
        <f t="shared" si="22"/>
        <v>0</v>
      </c>
      <c r="E242" s="515">
        <f t="shared" si="23"/>
        <v>0</v>
      </c>
      <c r="F242" s="515">
        <f t="shared" si="16"/>
        <v>0</v>
      </c>
      <c r="G242" s="471">
        <f t="shared" si="17"/>
        <v>0</v>
      </c>
      <c r="H242" s="509">
        <f>+J183*G242+E242</f>
        <v>0</v>
      </c>
      <c r="I242" s="516">
        <f>+J184*G242+E242</f>
        <v>0</v>
      </c>
      <c r="J242" s="512">
        <f t="shared" si="18"/>
        <v>0</v>
      </c>
      <c r="K242" s="512"/>
      <c r="L242" s="517"/>
      <c r="M242" s="512">
        <f t="shared" si="19"/>
        <v>0</v>
      </c>
      <c r="N242" s="517"/>
      <c r="O242" s="512">
        <f t="shared" si="20"/>
        <v>0</v>
      </c>
      <c r="P242" s="512">
        <f t="shared" si="21"/>
        <v>0</v>
      </c>
      <c r="Q242" s="473"/>
    </row>
    <row r="243" spans="1:17">
      <c r="C243" s="508">
        <f>IF(D182="","-",+C242+1)</f>
        <v>2066</v>
      </c>
      <c r="D243" s="471">
        <f t="shared" si="22"/>
        <v>0</v>
      </c>
      <c r="E243" s="515">
        <f t="shared" si="23"/>
        <v>0</v>
      </c>
      <c r="F243" s="515">
        <f t="shared" si="16"/>
        <v>0</v>
      </c>
      <c r="G243" s="471">
        <f t="shared" si="17"/>
        <v>0</v>
      </c>
      <c r="H243" s="509">
        <f>+J183*G243+E243</f>
        <v>0</v>
      </c>
      <c r="I243" s="516">
        <f>+J184*G243+E243</f>
        <v>0</v>
      </c>
      <c r="J243" s="512">
        <f t="shared" si="18"/>
        <v>0</v>
      </c>
      <c r="K243" s="512"/>
      <c r="L243" s="517"/>
      <c r="M243" s="512">
        <f t="shared" si="19"/>
        <v>0</v>
      </c>
      <c r="N243" s="517"/>
      <c r="O243" s="512">
        <f t="shared" si="20"/>
        <v>0</v>
      </c>
      <c r="P243" s="512">
        <f t="shared" si="21"/>
        <v>0</v>
      </c>
      <c r="Q243" s="473"/>
    </row>
    <row r="244" spans="1:17">
      <c r="C244" s="508">
        <f>IF(D182="","-",+C243+1)</f>
        <v>2067</v>
      </c>
      <c r="D244" s="471">
        <f t="shared" si="22"/>
        <v>0</v>
      </c>
      <c r="E244" s="515">
        <f t="shared" si="23"/>
        <v>0</v>
      </c>
      <c r="F244" s="515">
        <f t="shared" si="16"/>
        <v>0</v>
      </c>
      <c r="G244" s="471">
        <f t="shared" si="17"/>
        <v>0</v>
      </c>
      <c r="H244" s="509">
        <f>+J183*G244+E244</f>
        <v>0</v>
      </c>
      <c r="I244" s="516">
        <f>+J184*G244+E244</f>
        <v>0</v>
      </c>
      <c r="J244" s="512">
        <f t="shared" si="18"/>
        <v>0</v>
      </c>
      <c r="K244" s="512"/>
      <c r="L244" s="517"/>
      <c r="M244" s="512">
        <f t="shared" si="19"/>
        <v>0</v>
      </c>
      <c r="N244" s="517"/>
      <c r="O244" s="512">
        <f t="shared" si="20"/>
        <v>0</v>
      </c>
      <c r="P244" s="512">
        <f t="shared" si="21"/>
        <v>0</v>
      </c>
      <c r="Q244" s="473"/>
    </row>
    <row r="245" spans="1:17">
      <c r="C245" s="508">
        <f>IF(D182="","-",+C244+1)</f>
        <v>2068</v>
      </c>
      <c r="D245" s="471">
        <f t="shared" si="22"/>
        <v>0</v>
      </c>
      <c r="E245" s="515">
        <f t="shared" si="23"/>
        <v>0</v>
      </c>
      <c r="F245" s="515">
        <f t="shared" si="16"/>
        <v>0</v>
      </c>
      <c r="G245" s="471">
        <f t="shared" si="17"/>
        <v>0</v>
      </c>
      <c r="H245" s="509">
        <f>+J183*G245+E245</f>
        <v>0</v>
      </c>
      <c r="I245" s="516">
        <f>+J184*G245+E245</f>
        <v>0</v>
      </c>
      <c r="J245" s="512">
        <f t="shared" si="18"/>
        <v>0</v>
      </c>
      <c r="K245" s="512"/>
      <c r="L245" s="517"/>
      <c r="M245" s="512">
        <f t="shared" si="19"/>
        <v>0</v>
      </c>
      <c r="N245" s="517"/>
      <c r="O245" s="512">
        <f t="shared" si="20"/>
        <v>0</v>
      </c>
      <c r="P245" s="512">
        <f t="shared" si="21"/>
        <v>0</v>
      </c>
      <c r="Q245" s="473"/>
    </row>
    <row r="246" spans="1:17">
      <c r="C246" s="508">
        <f>IF(D182="","-",+C245+1)</f>
        <v>2069</v>
      </c>
      <c r="D246" s="471">
        <f t="shared" si="22"/>
        <v>0</v>
      </c>
      <c r="E246" s="515">
        <f t="shared" si="23"/>
        <v>0</v>
      </c>
      <c r="F246" s="515">
        <f t="shared" si="16"/>
        <v>0</v>
      </c>
      <c r="G246" s="471">
        <f t="shared" si="17"/>
        <v>0</v>
      </c>
      <c r="H246" s="509">
        <f>+J183*G246+E246</f>
        <v>0</v>
      </c>
      <c r="I246" s="516">
        <f>+J184*G246+E246</f>
        <v>0</v>
      </c>
      <c r="J246" s="512">
        <f t="shared" si="18"/>
        <v>0</v>
      </c>
      <c r="K246" s="512"/>
      <c r="L246" s="517"/>
      <c r="M246" s="512">
        <f t="shared" si="19"/>
        <v>0</v>
      </c>
      <c r="N246" s="517"/>
      <c r="O246" s="512">
        <f t="shared" si="20"/>
        <v>0</v>
      </c>
      <c r="P246" s="512">
        <f t="shared" si="21"/>
        <v>0</v>
      </c>
      <c r="Q246" s="473"/>
    </row>
    <row r="247" spans="1:17" ht="13.5" thickBot="1">
      <c r="C247" s="520">
        <f>IF(D182="","-",+C246+1)</f>
        <v>2070</v>
      </c>
      <c r="D247" s="521">
        <f t="shared" si="22"/>
        <v>0</v>
      </c>
      <c r="E247" s="522">
        <f t="shared" si="23"/>
        <v>0</v>
      </c>
      <c r="F247" s="522">
        <f t="shared" si="16"/>
        <v>0</v>
      </c>
      <c r="G247" s="521">
        <f t="shared" si="17"/>
        <v>0</v>
      </c>
      <c r="H247" s="523">
        <f>+J183*G247+E247</f>
        <v>0</v>
      </c>
      <c r="I247" s="523">
        <f>+J184*G247+E247</f>
        <v>0</v>
      </c>
      <c r="J247" s="524">
        <f t="shared" si="18"/>
        <v>0</v>
      </c>
      <c r="K247" s="512"/>
      <c r="L247" s="525"/>
      <c r="M247" s="524">
        <f t="shared" si="19"/>
        <v>0</v>
      </c>
      <c r="N247" s="525"/>
      <c r="O247" s="524">
        <f t="shared" si="20"/>
        <v>0</v>
      </c>
      <c r="P247" s="524">
        <f t="shared" si="21"/>
        <v>0</v>
      </c>
      <c r="Q247" s="473"/>
    </row>
    <row r="248" spans="1:17">
      <c r="C248" s="471" t="s">
        <v>288</v>
      </c>
      <c r="D248" s="469"/>
      <c r="E248" s="469">
        <f>SUM(E188:E247)</f>
        <v>2476288.83</v>
      </c>
      <c r="F248" s="469"/>
      <c r="G248" s="469"/>
      <c r="H248" s="469">
        <f>SUM(H188:H247)</f>
        <v>8478687.9273243658</v>
      </c>
      <c r="I248" s="469">
        <f>SUM(I188:I247)</f>
        <v>8478687.9273243658</v>
      </c>
      <c r="J248" s="469">
        <f>SUM(J188:J247)</f>
        <v>0</v>
      </c>
      <c r="K248" s="469"/>
      <c r="L248" s="469"/>
      <c r="M248" s="469"/>
      <c r="N248" s="469"/>
      <c r="O248" s="469"/>
      <c r="Q248" s="469"/>
    </row>
    <row r="249" spans="1:17">
      <c r="D249" s="78"/>
      <c r="E249" s="4"/>
      <c r="F249" s="4"/>
      <c r="G249" s="4"/>
      <c r="H249" s="4"/>
      <c r="I249" s="454"/>
      <c r="J249" s="454"/>
      <c r="K249" s="469"/>
      <c r="L249" s="454"/>
      <c r="M249" s="454"/>
      <c r="N249" s="454"/>
      <c r="O249" s="454"/>
      <c r="Q249" s="469"/>
    </row>
    <row r="250" spans="1:17">
      <c r="C250" s="4" t="s">
        <v>600</v>
      </c>
      <c r="D250" s="78"/>
      <c r="E250" s="4"/>
      <c r="F250" s="4"/>
      <c r="G250" s="4"/>
      <c r="H250" s="4"/>
      <c r="I250" s="454"/>
      <c r="J250" s="454"/>
      <c r="K250" s="469"/>
      <c r="L250" s="454"/>
      <c r="M250" s="454"/>
      <c r="N250" s="454"/>
      <c r="O250" s="454"/>
      <c r="Q250" s="469"/>
    </row>
    <row r="251" spans="1:17">
      <c r="D251" s="78"/>
      <c r="E251" s="4"/>
      <c r="F251" s="4"/>
      <c r="G251" s="4"/>
      <c r="H251" s="4"/>
      <c r="I251" s="454"/>
      <c r="J251" s="454"/>
      <c r="K251" s="469"/>
      <c r="L251" s="454"/>
      <c r="M251" s="454"/>
      <c r="N251" s="454"/>
      <c r="O251" s="454"/>
      <c r="Q251" s="469"/>
    </row>
    <row r="252" spans="1:17">
      <c r="C252" s="4" t="s">
        <v>601</v>
      </c>
      <c r="D252" s="471"/>
      <c r="E252" s="471"/>
      <c r="F252" s="471"/>
      <c r="G252" s="471"/>
      <c r="H252" s="469"/>
      <c r="I252" s="469"/>
      <c r="J252" s="473"/>
      <c r="K252" s="473"/>
      <c r="L252" s="473"/>
      <c r="M252" s="473"/>
      <c r="N252" s="473"/>
      <c r="O252" s="473"/>
      <c r="Q252" s="473"/>
    </row>
    <row r="253" spans="1:17">
      <c r="C253" s="4" t="s">
        <v>476</v>
      </c>
      <c r="D253" s="471"/>
      <c r="E253" s="471"/>
      <c r="F253" s="471"/>
      <c r="G253" s="471"/>
      <c r="H253" s="469"/>
      <c r="I253" s="469"/>
      <c r="J253" s="473"/>
      <c r="K253" s="473"/>
      <c r="L253" s="473"/>
      <c r="M253" s="473"/>
      <c r="N253" s="473"/>
      <c r="O253" s="473"/>
      <c r="Q253" s="473"/>
    </row>
    <row r="254" spans="1:17">
      <c r="C254" s="4" t="s">
        <v>289</v>
      </c>
      <c r="D254" s="471"/>
      <c r="E254" s="471"/>
      <c r="F254" s="471"/>
      <c r="G254" s="471"/>
      <c r="H254" s="469"/>
      <c r="I254" s="469"/>
      <c r="J254" s="473"/>
      <c r="K254" s="473"/>
      <c r="L254" s="473"/>
      <c r="M254" s="473"/>
      <c r="N254" s="473"/>
      <c r="O254" s="473"/>
      <c r="Q254" s="473"/>
    </row>
    <row r="255" spans="1:17" ht="20.25">
      <c r="A255" s="413" t="s">
        <v>767</v>
      </c>
      <c r="B255" s="4"/>
      <c r="C255" s="4"/>
      <c r="D255" s="78"/>
      <c r="E255" s="4"/>
      <c r="F255" s="80"/>
      <c r="G255" s="80"/>
      <c r="H255" s="4"/>
      <c r="I255" s="454"/>
      <c r="L255" s="11"/>
      <c r="M255" s="11"/>
      <c r="N255" s="11"/>
      <c r="O255" s="11" t="str">
        <f>"Page "&amp;SUM(Q$3:Q255)&amp;" of "</f>
        <v xml:space="preserve">Page 4 of </v>
      </c>
      <c r="P255" s="414">
        <f>COUNT(Q$8:Q$58123)</f>
        <v>16</v>
      </c>
      <c r="Q255" s="544">
        <v>1</v>
      </c>
    </row>
    <row r="256" spans="1:17">
      <c r="B256" s="4"/>
      <c r="C256" s="4"/>
      <c r="D256" s="78"/>
      <c r="E256" s="4"/>
      <c r="F256" s="4"/>
      <c r="G256" s="4"/>
      <c r="H256" s="4"/>
      <c r="I256" s="454"/>
      <c r="J256" s="4"/>
      <c r="K256" s="4"/>
    </row>
    <row r="257" spans="1:17" ht="18">
      <c r="B257" s="415" t="s">
        <v>174</v>
      </c>
      <c r="C257" s="474" t="s">
        <v>290</v>
      </c>
      <c r="D257" s="78"/>
      <c r="E257" s="4"/>
      <c r="F257" s="4"/>
      <c r="G257" s="4"/>
      <c r="H257" s="4"/>
      <c r="I257" s="454"/>
      <c r="J257" s="454"/>
      <c r="K257" s="469"/>
      <c r="L257" s="454"/>
      <c r="M257" s="454"/>
      <c r="N257" s="454"/>
      <c r="O257" s="454"/>
      <c r="Q257" s="469"/>
    </row>
    <row r="258" spans="1:17" ht="18.75">
      <c r="B258" s="415"/>
      <c r="C258" s="13"/>
      <c r="D258" s="78"/>
      <c r="E258" s="4"/>
      <c r="F258" s="4"/>
      <c r="G258" s="4"/>
      <c r="H258" s="4"/>
      <c r="I258" s="454"/>
      <c r="J258" s="454"/>
      <c r="K258" s="469"/>
      <c r="L258" s="454"/>
      <c r="M258" s="454"/>
      <c r="N258" s="454"/>
      <c r="O258" s="454"/>
      <c r="Q258" s="469"/>
    </row>
    <row r="259" spans="1:17" ht="18.75">
      <c r="B259" s="415"/>
      <c r="C259" s="13" t="s">
        <v>291</v>
      </c>
      <c r="D259" s="78"/>
      <c r="E259" s="4"/>
      <c r="F259" s="4"/>
      <c r="G259" s="4"/>
      <c r="H259" s="4"/>
      <c r="I259" s="454"/>
      <c r="J259" s="454"/>
      <c r="K259" s="469"/>
      <c r="L259" s="454"/>
      <c r="M259" s="454"/>
      <c r="N259" s="454"/>
      <c r="O259" s="454"/>
      <c r="Q259" s="469"/>
    </row>
    <row r="260" spans="1:17" ht="15.75" thickBot="1">
      <c r="C260" s="250"/>
      <c r="D260" s="78"/>
      <c r="E260" s="4"/>
      <c r="F260" s="4"/>
      <c r="G260" s="4"/>
      <c r="H260" s="4"/>
      <c r="I260" s="454"/>
      <c r="J260" s="454"/>
      <c r="K260" s="469"/>
      <c r="L260" s="454"/>
      <c r="M260" s="454"/>
      <c r="N260" s="454"/>
      <c r="O260" s="454"/>
      <c r="Q260" s="469"/>
    </row>
    <row r="261" spans="1:17" ht="15.75">
      <c r="C261" s="416" t="s">
        <v>292</v>
      </c>
      <c r="D261" s="78"/>
      <c r="E261" s="4"/>
      <c r="F261" s="4"/>
      <c r="G261" s="4"/>
      <c r="H261" s="642"/>
      <c r="I261" s="4" t="s">
        <v>271</v>
      </c>
      <c r="J261" s="4"/>
      <c r="K261" s="4"/>
      <c r="L261" s="545">
        <f>+J267</f>
        <v>2025</v>
      </c>
      <c r="M261" s="529" t="s">
        <v>254</v>
      </c>
      <c r="N261" s="529" t="s">
        <v>255</v>
      </c>
      <c r="O261" s="530" t="s">
        <v>256</v>
      </c>
    </row>
    <row r="262" spans="1:17" ht="15.75">
      <c r="C262" s="416"/>
      <c r="D262" s="78"/>
      <c r="E262" s="4"/>
      <c r="F262" s="4"/>
      <c r="H262" s="4"/>
      <c r="I262" s="478"/>
      <c r="J262" s="478"/>
      <c r="K262" s="479"/>
      <c r="L262" s="546" t="s">
        <v>455</v>
      </c>
      <c r="M262" s="547">
        <f>VLOOKUP(J267,C274:P333,10)</f>
        <v>3027628.2195894858</v>
      </c>
      <c r="N262" s="547">
        <f>VLOOKUP(J267,C274:P333,12)</f>
        <v>3027628.2195894858</v>
      </c>
      <c r="O262" s="548">
        <f>+N262-M262</f>
        <v>0</v>
      </c>
      <c r="Q262" s="479"/>
    </row>
    <row r="263" spans="1:17">
      <c r="C263" s="481" t="s">
        <v>293</v>
      </c>
      <c r="D263" s="1304" t="s">
        <v>931</v>
      </c>
      <c r="E263" s="1304"/>
      <c r="F263" s="1304"/>
      <c r="G263" s="1304"/>
      <c r="H263" s="653"/>
      <c r="I263" s="454"/>
      <c r="J263" s="454"/>
      <c r="K263" s="469"/>
      <c r="L263" s="546" t="s">
        <v>456</v>
      </c>
      <c r="M263" s="549">
        <f>VLOOKUP(J267,C274:P333,6)</f>
        <v>3022686.6529466156</v>
      </c>
      <c r="N263" s="549">
        <f>VLOOKUP(J267,C274:P333,7)</f>
        <v>3022686.6529466156</v>
      </c>
      <c r="O263" s="550">
        <f>+N263-M263</f>
        <v>0</v>
      </c>
      <c r="Q263" s="469"/>
    </row>
    <row r="264" spans="1:17" ht="13.5" thickBot="1">
      <c r="C264" s="483"/>
      <c r="D264" s="484"/>
      <c r="E264" s="471"/>
      <c r="F264" s="471"/>
      <c r="G264" s="471"/>
      <c r="H264" s="485"/>
      <c r="I264" s="454"/>
      <c r="J264" s="454"/>
      <c r="K264" s="469"/>
      <c r="L264" s="495" t="s">
        <v>457</v>
      </c>
      <c r="M264" s="551">
        <f>+M263-M262</f>
        <v>-4941.5666428701952</v>
      </c>
      <c r="N264" s="551">
        <f>+N263-N262</f>
        <v>-4941.5666428701952</v>
      </c>
      <c r="O264" s="552">
        <f>+O263-O262</f>
        <v>0</v>
      </c>
      <c r="Q264" s="469"/>
    </row>
    <row r="265" spans="1:17" ht="13.5" thickBot="1">
      <c r="C265" s="483"/>
      <c r="D265" s="4"/>
      <c r="E265" s="485"/>
      <c r="F265" s="485"/>
      <c r="G265" s="485"/>
      <c r="H265" s="485"/>
      <c r="I265" s="485"/>
      <c r="J265" s="485"/>
      <c r="K265" s="485"/>
      <c r="L265" s="485"/>
      <c r="M265" s="485"/>
      <c r="N265" s="485"/>
      <c r="O265" s="485"/>
      <c r="Q265" s="485"/>
    </row>
    <row r="266" spans="1:17" ht="13.5" thickBot="1">
      <c r="C266" s="487" t="s">
        <v>294</v>
      </c>
      <c r="D266" s="488"/>
      <c r="E266" s="488"/>
      <c r="F266" s="488"/>
      <c r="G266" s="488"/>
      <c r="H266" s="488"/>
      <c r="I266" s="488"/>
      <c r="J266" s="488"/>
      <c r="Q266"/>
    </row>
    <row r="267" spans="1:17" ht="15">
      <c r="A267" s="486"/>
      <c r="C267" s="490" t="s">
        <v>272</v>
      </c>
      <c r="D267" s="643">
        <v>28572967.259999994</v>
      </c>
      <c r="E267" s="4" t="s">
        <v>273</v>
      </c>
      <c r="H267" s="78"/>
      <c r="I267" s="78"/>
      <c r="J267" s="491">
        <f>$J$95</f>
        <v>2025</v>
      </c>
      <c r="K267" s="134"/>
      <c r="L267" s="1305" t="s">
        <v>274</v>
      </c>
      <c r="M267" s="1305"/>
      <c r="N267" s="1305"/>
      <c r="O267" s="1305"/>
      <c r="Q267" s="134"/>
    </row>
    <row r="268" spans="1:17">
      <c r="A268" s="486"/>
      <c r="C268" s="490" t="s">
        <v>275</v>
      </c>
      <c r="D268" s="654">
        <v>2014</v>
      </c>
      <c r="E268" s="490" t="s">
        <v>276</v>
      </c>
      <c r="F268" s="78"/>
      <c r="G268" s="78"/>
      <c r="I268"/>
      <c r="J268" s="647">
        <v>0</v>
      </c>
      <c r="K268" s="492"/>
      <c r="L268" s="469" t="s">
        <v>475</v>
      </c>
      <c r="Q268" s="492"/>
    </row>
    <row r="269" spans="1:17">
      <c r="A269" s="486"/>
      <c r="C269" s="490" t="s">
        <v>277</v>
      </c>
      <c r="D269" s="645">
        <v>9</v>
      </c>
      <c r="E269" s="490" t="s">
        <v>278</v>
      </c>
      <c r="F269" s="78"/>
      <c r="G269" s="78"/>
      <c r="I269"/>
      <c r="J269" s="493">
        <f>$F$70</f>
        <v>0.11017952320434825</v>
      </c>
      <c r="K269" s="80"/>
      <c r="L269" s="4" t="str">
        <f>"          INPUT TRUE-UP ARR (WITH &amp; WITHOUT INCENTIVES) FROM EACH PRIOR YEAR"</f>
        <v xml:space="preserve">          INPUT TRUE-UP ARR (WITH &amp; WITHOUT INCENTIVES) FROM EACH PRIOR YEAR</v>
      </c>
      <c r="Q269" s="80"/>
    </row>
    <row r="270" spans="1:17">
      <c r="A270" s="486"/>
      <c r="C270" s="490" t="s">
        <v>279</v>
      </c>
      <c r="D270" s="494">
        <f>H79</f>
        <v>42</v>
      </c>
      <c r="E270" s="490" t="s">
        <v>280</v>
      </c>
      <c r="F270" s="78"/>
      <c r="G270" s="78"/>
      <c r="I270"/>
      <c r="J270" s="493">
        <f>IF(H261="",J269,$F$69)</f>
        <v>0.11017952320434825</v>
      </c>
      <c r="K270" s="80"/>
      <c r="L270" s="4" t="s">
        <v>362</v>
      </c>
      <c r="M270" s="80"/>
      <c r="N270" s="80"/>
      <c r="O270" s="80"/>
      <c r="Q270" s="80"/>
    </row>
    <row r="271" spans="1:17" ht="13.5" thickBot="1">
      <c r="A271" s="486"/>
      <c r="C271" s="490" t="s">
        <v>281</v>
      </c>
      <c r="D271" s="646" t="s">
        <v>929</v>
      </c>
      <c r="E271" s="495" t="s">
        <v>282</v>
      </c>
      <c r="F271" s="496"/>
      <c r="G271" s="496"/>
      <c r="H271" s="497"/>
      <c r="I271" s="497"/>
      <c r="J271" s="482">
        <f>IF(D267=0,0,D267/D270)</f>
        <v>680308.74428571411</v>
      </c>
      <c r="K271" s="469"/>
      <c r="L271" s="469" t="s">
        <v>363</v>
      </c>
      <c r="M271" s="469"/>
      <c r="N271" s="469"/>
      <c r="O271" s="469"/>
      <c r="Q271" s="469"/>
    </row>
    <row r="272" spans="1:17" ht="38.25">
      <c r="A272" s="12"/>
      <c r="B272" s="12"/>
      <c r="C272" s="498" t="s">
        <v>272</v>
      </c>
      <c r="D272" s="499" t="s">
        <v>283</v>
      </c>
      <c r="E272" s="500" t="s">
        <v>284</v>
      </c>
      <c r="F272" s="499" t="s">
        <v>285</v>
      </c>
      <c r="G272" s="499" t="s">
        <v>458</v>
      </c>
      <c r="H272" s="500" t="s">
        <v>356</v>
      </c>
      <c r="I272" s="501" t="s">
        <v>356</v>
      </c>
      <c r="J272" s="498" t="s">
        <v>295</v>
      </c>
      <c r="K272" s="502"/>
      <c r="L272" s="500" t="s">
        <v>358</v>
      </c>
      <c r="M272" s="500" t="s">
        <v>364</v>
      </c>
      <c r="N272" s="500" t="s">
        <v>358</v>
      </c>
      <c r="O272" s="500" t="s">
        <v>366</v>
      </c>
      <c r="P272" s="500" t="s">
        <v>286</v>
      </c>
      <c r="Q272" s="127"/>
    </row>
    <row r="273" spans="3:17" ht="13.5" thickBot="1">
      <c r="C273" s="503" t="s">
        <v>177</v>
      </c>
      <c r="D273" s="504" t="s">
        <v>178</v>
      </c>
      <c r="E273" s="503" t="s">
        <v>37</v>
      </c>
      <c r="F273" s="504" t="s">
        <v>178</v>
      </c>
      <c r="G273" s="504" t="s">
        <v>178</v>
      </c>
      <c r="H273" s="505" t="s">
        <v>298</v>
      </c>
      <c r="I273" s="506" t="s">
        <v>300</v>
      </c>
      <c r="J273" s="503" t="s">
        <v>389</v>
      </c>
      <c r="K273" s="507"/>
      <c r="L273" s="505" t="s">
        <v>287</v>
      </c>
      <c r="M273" s="505" t="s">
        <v>287</v>
      </c>
      <c r="N273" s="505" t="s">
        <v>467</v>
      </c>
      <c r="O273" s="505" t="s">
        <v>467</v>
      </c>
      <c r="P273" s="505" t="s">
        <v>467</v>
      </c>
      <c r="Q273" s="134"/>
    </row>
    <row r="274" spans="3:17">
      <c r="C274" s="508">
        <f>IF(D268= "","-",D268)</f>
        <v>2014</v>
      </c>
      <c r="D274" s="471">
        <f>+D267</f>
        <v>28572967.259999994</v>
      </c>
      <c r="E274" s="509">
        <f>+J271/12*(12-D269)</f>
        <v>170077.18607142853</v>
      </c>
      <c r="F274" s="553">
        <f t="shared" ref="F274:F333" si="24">+D274-E274</f>
        <v>28402890.073928565</v>
      </c>
      <c r="G274" s="471">
        <f t="shared" ref="G274:G333" si="25">+(D274+F274)/2</f>
        <v>28487928.666964278</v>
      </c>
      <c r="H274" s="510">
        <f>+J269*G274+E274</f>
        <v>3308863.5836770367</v>
      </c>
      <c r="I274" s="511">
        <f>+J270*G274+E274</f>
        <v>3308863.5836770367</v>
      </c>
      <c r="J274" s="512">
        <f t="shared" ref="J274:J333" si="26">+I274-H274</f>
        <v>0</v>
      </c>
      <c r="K274" s="512"/>
      <c r="L274" s="513">
        <v>184681</v>
      </c>
      <c r="M274" s="554">
        <f t="shared" ref="M274:M333" si="27">IF(L274&lt;&gt;0,+H274-L274,0)</f>
        <v>3124182.5836770367</v>
      </c>
      <c r="N274" s="513">
        <v>184681</v>
      </c>
      <c r="O274" s="554">
        <f t="shared" ref="O274:O333" si="28">IF(N274&lt;&gt;0,+I274-N274,0)</f>
        <v>3124182.5836770367</v>
      </c>
      <c r="P274" s="554">
        <f t="shared" ref="P274:P333" si="29">+O274-M274</f>
        <v>0</v>
      </c>
      <c r="Q274" s="473"/>
    </row>
    <row r="275" spans="3:17">
      <c r="C275" s="508">
        <f>IF(D268="","-",+C274+1)</f>
        <v>2015</v>
      </c>
      <c r="D275" s="471">
        <f t="shared" ref="D275:D333" si="30">F274</f>
        <v>28402890.073928565</v>
      </c>
      <c r="E275" s="515">
        <f>IF(D275&gt;$J$271,$J$271,D275)</f>
        <v>680308.74428571411</v>
      </c>
      <c r="F275" s="515">
        <f t="shared" si="24"/>
        <v>27722581.329642851</v>
      </c>
      <c r="G275" s="471">
        <f t="shared" si="25"/>
        <v>28062735.701785706</v>
      </c>
      <c r="H275" s="509">
        <f>+J269*G275+E275</f>
        <v>3772247.5837181043</v>
      </c>
      <c r="I275" s="516">
        <f>+J270*G275+E275</f>
        <v>3772247.5837181043</v>
      </c>
      <c r="J275" s="512">
        <f t="shared" si="26"/>
        <v>0</v>
      </c>
      <c r="K275" s="512"/>
      <c r="L275" s="517">
        <v>1644963</v>
      </c>
      <c r="M275" s="512">
        <f t="shared" si="27"/>
        <v>2127284.5837181043</v>
      </c>
      <c r="N275" s="517">
        <v>1644963</v>
      </c>
      <c r="O275" s="512">
        <f t="shared" si="28"/>
        <v>2127284.5837181043</v>
      </c>
      <c r="P275" s="512">
        <f t="shared" si="29"/>
        <v>0</v>
      </c>
      <c r="Q275" s="473"/>
    </row>
    <row r="276" spans="3:17">
      <c r="C276" s="508">
        <f>IF(D268="","-",+C275+1)</f>
        <v>2016</v>
      </c>
      <c r="D276" s="471">
        <f t="shared" si="30"/>
        <v>27722581.329642851</v>
      </c>
      <c r="E276" s="515">
        <f t="shared" ref="E276:E333" si="31">IF(D276&gt;$J$271,$J$271,D276)</f>
        <v>680308.74428571411</v>
      </c>
      <c r="F276" s="515">
        <f t="shared" si="24"/>
        <v>27042272.585357137</v>
      </c>
      <c r="G276" s="471">
        <f t="shared" si="25"/>
        <v>27382426.957499996</v>
      </c>
      <c r="H276" s="509">
        <f>+J269*G276+E276</f>
        <v>3697291.490640956</v>
      </c>
      <c r="I276" s="516">
        <f>+J270*G276+E276</f>
        <v>3697291.490640956</v>
      </c>
      <c r="J276" s="512">
        <f t="shared" si="26"/>
        <v>0</v>
      </c>
      <c r="K276" s="512"/>
      <c r="L276" s="517">
        <v>1563801</v>
      </c>
      <c r="M276" s="512">
        <f t="shared" si="27"/>
        <v>2133490.490640956</v>
      </c>
      <c r="N276" s="517">
        <v>1563801</v>
      </c>
      <c r="O276" s="512">
        <f t="shared" si="28"/>
        <v>2133490.490640956</v>
      </c>
      <c r="P276" s="512">
        <f t="shared" si="29"/>
        <v>0</v>
      </c>
      <c r="Q276" s="473"/>
    </row>
    <row r="277" spans="3:17">
      <c r="C277" s="508">
        <f>IF(D268="","-",+C276+1)</f>
        <v>2017</v>
      </c>
      <c r="D277" s="471">
        <f t="shared" si="30"/>
        <v>27042272.585357137</v>
      </c>
      <c r="E277" s="515">
        <f t="shared" si="31"/>
        <v>680308.74428571411</v>
      </c>
      <c r="F277" s="515">
        <f t="shared" si="24"/>
        <v>26361963.841071423</v>
      </c>
      <c r="G277" s="471">
        <f t="shared" si="25"/>
        <v>26702118.213214278</v>
      </c>
      <c r="H277" s="509">
        <f>+J269*G277+E277</f>
        <v>3622335.3975638067</v>
      </c>
      <c r="I277" s="516">
        <f>+J270*G277+E277</f>
        <v>3622335.3975638067</v>
      </c>
      <c r="J277" s="512">
        <f t="shared" si="26"/>
        <v>0</v>
      </c>
      <c r="K277" s="512"/>
      <c r="L277" s="517">
        <v>2152715</v>
      </c>
      <c r="M277" s="512">
        <f t="shared" si="27"/>
        <v>1469620.3975638067</v>
      </c>
      <c r="N277" s="517">
        <v>2152715</v>
      </c>
      <c r="O277" s="512">
        <f t="shared" si="28"/>
        <v>1469620.3975638067</v>
      </c>
      <c r="P277" s="512">
        <f t="shared" si="29"/>
        <v>0</v>
      </c>
      <c r="Q277" s="473"/>
    </row>
    <row r="278" spans="3:17">
      <c r="C278" s="508">
        <f>IF(D268="","-",+C277+1)</f>
        <v>2018</v>
      </c>
      <c r="D278" s="471">
        <f t="shared" si="30"/>
        <v>26361963.841071423</v>
      </c>
      <c r="E278" s="515">
        <f t="shared" si="31"/>
        <v>680308.74428571411</v>
      </c>
      <c r="F278" s="515">
        <f t="shared" si="24"/>
        <v>25681655.096785709</v>
      </c>
      <c r="G278" s="471">
        <f t="shared" si="25"/>
        <v>26021809.468928568</v>
      </c>
      <c r="H278" s="509">
        <f>+J269*G278+E278</f>
        <v>3547379.3044866584</v>
      </c>
      <c r="I278" s="516">
        <f>+J270*G278+E278</f>
        <v>3547379.3044866584</v>
      </c>
      <c r="J278" s="512">
        <f t="shared" si="26"/>
        <v>0</v>
      </c>
      <c r="K278" s="512"/>
      <c r="L278" s="517">
        <v>1909994</v>
      </c>
      <c r="M278" s="512">
        <f t="shared" si="27"/>
        <v>1637385.3044866584</v>
      </c>
      <c r="N278" s="517">
        <v>1909994</v>
      </c>
      <c r="O278" s="512">
        <f t="shared" si="28"/>
        <v>1637385.3044866584</v>
      </c>
      <c r="P278" s="512">
        <f t="shared" si="29"/>
        <v>0</v>
      </c>
      <c r="Q278" s="473"/>
    </row>
    <row r="279" spans="3:17">
      <c r="C279" s="508">
        <f>IF(D268="","-",+C278+1)</f>
        <v>2019</v>
      </c>
      <c r="D279" s="471">
        <f t="shared" si="30"/>
        <v>25681655.096785709</v>
      </c>
      <c r="E279" s="515">
        <f t="shared" si="31"/>
        <v>680308.74428571411</v>
      </c>
      <c r="F279" s="515">
        <f t="shared" si="24"/>
        <v>25001346.352499995</v>
      </c>
      <c r="G279" s="471">
        <f t="shared" si="25"/>
        <v>25341500.72464285</v>
      </c>
      <c r="H279" s="509">
        <f>+J269*G279+E279</f>
        <v>3472423.2114095092</v>
      </c>
      <c r="I279" s="516">
        <f>+J270*G279+E279</f>
        <v>3472423.2114095092</v>
      </c>
      <c r="J279" s="512">
        <f t="shared" si="26"/>
        <v>0</v>
      </c>
      <c r="K279" s="512"/>
      <c r="L279" s="517">
        <v>1902485</v>
      </c>
      <c r="M279" s="512">
        <f t="shared" si="27"/>
        <v>1569938.2114095092</v>
      </c>
      <c r="N279" s="517">
        <v>1902485</v>
      </c>
      <c r="O279" s="512">
        <f t="shared" si="28"/>
        <v>1569938.2114095092</v>
      </c>
      <c r="P279" s="512">
        <f t="shared" si="29"/>
        <v>0</v>
      </c>
      <c r="Q279" s="473"/>
    </row>
    <row r="280" spans="3:17">
      <c r="C280" s="508">
        <f>IF(D268="","-",+C279+1)</f>
        <v>2020</v>
      </c>
      <c r="D280" s="471">
        <f t="shared" si="30"/>
        <v>25001346.352499995</v>
      </c>
      <c r="E280" s="515">
        <f t="shared" si="31"/>
        <v>680308.74428571411</v>
      </c>
      <c r="F280" s="515">
        <f t="shared" si="24"/>
        <v>24321037.608214281</v>
      </c>
      <c r="G280" s="471">
        <f t="shared" si="25"/>
        <v>24661191.98035714</v>
      </c>
      <c r="H280" s="509">
        <f>+J269*G280+E280</f>
        <v>3397467.1183323609</v>
      </c>
      <c r="I280" s="516">
        <f>+J270*G280+E280</f>
        <v>3397467.1183323609</v>
      </c>
      <c r="J280" s="512">
        <f t="shared" si="26"/>
        <v>0</v>
      </c>
      <c r="K280" s="512"/>
      <c r="L280" s="517">
        <v>2304570.9304921119</v>
      </c>
      <c r="M280" s="512">
        <f t="shared" si="27"/>
        <v>1092896.1878402489</v>
      </c>
      <c r="N280" s="517">
        <v>2304570.9304921119</v>
      </c>
      <c r="O280" s="512">
        <f t="shared" si="28"/>
        <v>1092896.1878402489</v>
      </c>
      <c r="P280" s="512">
        <f t="shared" si="29"/>
        <v>0</v>
      </c>
      <c r="Q280" s="473"/>
    </row>
    <row r="281" spans="3:17">
      <c r="C281" s="508">
        <f>IF(D268="","-",+C280+1)</f>
        <v>2021</v>
      </c>
      <c r="D281" s="471">
        <f t="shared" si="30"/>
        <v>24321037.608214281</v>
      </c>
      <c r="E281" s="515">
        <f t="shared" si="31"/>
        <v>680308.74428571411</v>
      </c>
      <c r="F281" s="515">
        <f t="shared" si="24"/>
        <v>23640728.863928568</v>
      </c>
      <c r="G281" s="471">
        <f t="shared" si="25"/>
        <v>23980883.236071423</v>
      </c>
      <c r="H281" s="509">
        <f>+J269*G281+E281</f>
        <v>3322511.0252552116</v>
      </c>
      <c r="I281" s="516">
        <f>+J270*G281+E281</f>
        <v>3322511.0252552116</v>
      </c>
      <c r="J281" s="512">
        <f t="shared" si="26"/>
        <v>0</v>
      </c>
      <c r="K281" s="512"/>
      <c r="L281" s="517">
        <v>3141410.4901078856</v>
      </c>
      <c r="M281" s="512">
        <f t="shared" si="27"/>
        <v>181100.53514732607</v>
      </c>
      <c r="N281" s="517">
        <v>3141410.4901078856</v>
      </c>
      <c r="O281" s="512">
        <f t="shared" si="28"/>
        <v>181100.53514732607</v>
      </c>
      <c r="P281" s="512">
        <f t="shared" si="29"/>
        <v>0</v>
      </c>
      <c r="Q281" s="473"/>
    </row>
    <row r="282" spans="3:17">
      <c r="C282" s="508">
        <f>IF(D268="","-",+C281+1)</f>
        <v>2022</v>
      </c>
      <c r="D282" s="471">
        <f t="shared" si="30"/>
        <v>23640728.863928568</v>
      </c>
      <c r="E282" s="515">
        <f t="shared" si="31"/>
        <v>680308.74428571411</v>
      </c>
      <c r="F282" s="515">
        <f t="shared" si="24"/>
        <v>22960420.119642854</v>
      </c>
      <c r="G282" s="471">
        <f t="shared" si="25"/>
        <v>23300574.491785713</v>
      </c>
      <c r="H282" s="509">
        <f>+J269*G282+E282</f>
        <v>3247554.9321780633</v>
      </c>
      <c r="I282" s="516">
        <f>+J270*G282+E282</f>
        <v>3247554.9321780633</v>
      </c>
      <c r="J282" s="512">
        <f t="shared" si="26"/>
        <v>0</v>
      </c>
      <c r="K282" s="512"/>
      <c r="L282" s="517">
        <v>3099440.2308815834</v>
      </c>
      <c r="M282" s="512">
        <f t="shared" si="27"/>
        <v>148114.70129647991</v>
      </c>
      <c r="N282" s="517">
        <v>3099440.2308815834</v>
      </c>
      <c r="O282" s="512">
        <f t="shared" si="28"/>
        <v>148114.70129647991</v>
      </c>
      <c r="P282" s="512">
        <f t="shared" si="29"/>
        <v>0</v>
      </c>
      <c r="Q282" s="473"/>
    </row>
    <row r="283" spans="3:17">
      <c r="C283" s="508">
        <f>IF(D268="","-",+C282+1)</f>
        <v>2023</v>
      </c>
      <c r="D283" s="471">
        <f t="shared" si="30"/>
        <v>22960420.119642854</v>
      </c>
      <c r="E283" s="515">
        <f t="shared" si="31"/>
        <v>680308.74428571411</v>
      </c>
      <c r="F283" s="515">
        <f t="shared" si="24"/>
        <v>22280111.37535714</v>
      </c>
      <c r="G283" s="471">
        <f t="shared" si="25"/>
        <v>22620265.747499995</v>
      </c>
      <c r="H283" s="509">
        <f>+J269*G283+E283</f>
        <v>3172598.8391009141</v>
      </c>
      <c r="I283" s="516">
        <f>+J270*G283+E283</f>
        <v>3172598.8391009141</v>
      </c>
      <c r="J283" s="512">
        <f t="shared" si="26"/>
        <v>0</v>
      </c>
      <c r="K283" s="512"/>
      <c r="L283" s="517">
        <v>3188927.0201244252</v>
      </c>
      <c r="M283" s="512">
        <f t="shared" si="27"/>
        <v>-16328.181023511104</v>
      </c>
      <c r="N283" s="517">
        <v>3188927.0201244252</v>
      </c>
      <c r="O283" s="512">
        <f t="shared" si="28"/>
        <v>-16328.181023511104</v>
      </c>
      <c r="P283" s="512">
        <f t="shared" si="29"/>
        <v>0</v>
      </c>
      <c r="Q283" s="473"/>
    </row>
    <row r="284" spans="3:17">
      <c r="C284" s="508">
        <f>IF(D268="","-",+C283+1)</f>
        <v>2024</v>
      </c>
      <c r="D284" s="471">
        <f t="shared" si="30"/>
        <v>22280111.37535714</v>
      </c>
      <c r="E284" s="515">
        <f t="shared" si="31"/>
        <v>680308.74428571411</v>
      </c>
      <c r="F284" s="515">
        <f t="shared" si="24"/>
        <v>21599802.631071426</v>
      </c>
      <c r="G284" s="471">
        <f t="shared" si="25"/>
        <v>21939957.003214285</v>
      </c>
      <c r="H284" s="509">
        <f>+J269*G284+E284</f>
        <v>3097642.7460237648</v>
      </c>
      <c r="I284" s="516">
        <f>+J270*G284+E284</f>
        <v>3097642.7460237648</v>
      </c>
      <c r="J284" s="512">
        <f t="shared" si="26"/>
        <v>0</v>
      </c>
      <c r="K284" s="512"/>
      <c r="L284" s="517">
        <v>3094242.4500530576</v>
      </c>
      <c r="M284" s="512">
        <f t="shared" si="27"/>
        <v>3400.2959707072005</v>
      </c>
      <c r="N284" s="517">
        <v>3094242.4500530576</v>
      </c>
      <c r="O284" s="512">
        <f t="shared" si="28"/>
        <v>3400.2959707072005</v>
      </c>
      <c r="P284" s="512">
        <f t="shared" si="29"/>
        <v>0</v>
      </c>
      <c r="Q284" s="473"/>
    </row>
    <row r="285" spans="3:17">
      <c r="C285" s="508">
        <f>IF(D268="","-",+C284+1)</f>
        <v>2025</v>
      </c>
      <c r="D285" s="471">
        <f t="shared" si="30"/>
        <v>21599802.631071426</v>
      </c>
      <c r="E285" s="515">
        <f t="shared" si="31"/>
        <v>680308.74428571411</v>
      </c>
      <c r="F285" s="515">
        <f t="shared" si="24"/>
        <v>20919493.886785712</v>
      </c>
      <c r="G285" s="471">
        <f t="shared" si="25"/>
        <v>21259648.258928567</v>
      </c>
      <c r="H285" s="509">
        <f>+J269*G285+E285</f>
        <v>3022686.6529466156</v>
      </c>
      <c r="I285" s="516">
        <f>+J270*G285+E285</f>
        <v>3022686.6529466156</v>
      </c>
      <c r="J285" s="512">
        <f t="shared" si="26"/>
        <v>0</v>
      </c>
      <c r="K285" s="512"/>
      <c r="L285" s="517">
        <v>3027628.2195894858</v>
      </c>
      <c r="M285" s="512">
        <f t="shared" si="27"/>
        <v>-4941.5666428701952</v>
      </c>
      <c r="N285" s="517">
        <v>3027628.2195894858</v>
      </c>
      <c r="O285" s="512">
        <f t="shared" si="28"/>
        <v>-4941.5666428701952</v>
      </c>
      <c r="P285" s="512">
        <f t="shared" si="29"/>
        <v>0</v>
      </c>
      <c r="Q285" s="473"/>
    </row>
    <row r="286" spans="3:17">
      <c r="C286" s="508">
        <f>IF(D268="","-",+C285+1)</f>
        <v>2026</v>
      </c>
      <c r="D286" s="471">
        <f t="shared" si="30"/>
        <v>20919493.886785712</v>
      </c>
      <c r="E286" s="515">
        <f t="shared" si="31"/>
        <v>680308.74428571411</v>
      </c>
      <c r="F286" s="515">
        <f t="shared" si="24"/>
        <v>20239185.142499998</v>
      </c>
      <c r="G286" s="471">
        <f t="shared" si="25"/>
        <v>20579339.514642857</v>
      </c>
      <c r="H286" s="509">
        <f>+J269*G286+E286</f>
        <v>2947730.5598694673</v>
      </c>
      <c r="I286" s="516">
        <f>+J270*G286+E286</f>
        <v>2947730.5598694673</v>
      </c>
      <c r="J286" s="512">
        <f t="shared" si="26"/>
        <v>0</v>
      </c>
      <c r="K286" s="512"/>
      <c r="L286" s="517"/>
      <c r="M286" s="512">
        <f t="shared" si="27"/>
        <v>0</v>
      </c>
      <c r="N286" s="517"/>
      <c r="O286" s="512">
        <f t="shared" si="28"/>
        <v>0</v>
      </c>
      <c r="P286" s="512">
        <f t="shared" si="29"/>
        <v>0</v>
      </c>
      <c r="Q286" s="473"/>
    </row>
    <row r="287" spans="3:17">
      <c r="C287" s="508">
        <f>IF(D268="","-",+C286+1)</f>
        <v>2027</v>
      </c>
      <c r="D287" s="471">
        <f t="shared" si="30"/>
        <v>20239185.142499998</v>
      </c>
      <c r="E287" s="515">
        <f t="shared" si="31"/>
        <v>680308.74428571411</v>
      </c>
      <c r="F287" s="515">
        <f t="shared" si="24"/>
        <v>19558876.398214284</v>
      </c>
      <c r="G287" s="471">
        <f t="shared" si="25"/>
        <v>19899030.770357139</v>
      </c>
      <c r="H287" s="509">
        <f>+J269*G287+E287</f>
        <v>2872774.466792318</v>
      </c>
      <c r="I287" s="516">
        <f>+J270*G287+E287</f>
        <v>2872774.466792318</v>
      </c>
      <c r="J287" s="512">
        <f t="shared" si="26"/>
        <v>0</v>
      </c>
      <c r="K287" s="512"/>
      <c r="L287" s="517"/>
      <c r="M287" s="512">
        <f t="shared" si="27"/>
        <v>0</v>
      </c>
      <c r="N287" s="517"/>
      <c r="O287" s="512">
        <f t="shared" si="28"/>
        <v>0</v>
      </c>
      <c r="P287" s="512">
        <f t="shared" si="29"/>
        <v>0</v>
      </c>
      <c r="Q287" s="473"/>
    </row>
    <row r="288" spans="3:17">
      <c r="C288" s="508">
        <f>IF(D268="","-",+C287+1)</f>
        <v>2028</v>
      </c>
      <c r="D288" s="471">
        <f t="shared" si="30"/>
        <v>19558876.398214284</v>
      </c>
      <c r="E288" s="515">
        <f t="shared" si="31"/>
        <v>680308.74428571411</v>
      </c>
      <c r="F288" s="515">
        <f t="shared" si="24"/>
        <v>18878567.65392857</v>
      </c>
      <c r="G288" s="471">
        <f t="shared" si="25"/>
        <v>19218722.026071429</v>
      </c>
      <c r="H288" s="509">
        <f>+J269*G288+E288</f>
        <v>2797818.3737151697</v>
      </c>
      <c r="I288" s="516">
        <f>+J270*G288+E288</f>
        <v>2797818.3737151697</v>
      </c>
      <c r="J288" s="512">
        <f t="shared" si="26"/>
        <v>0</v>
      </c>
      <c r="K288" s="512"/>
      <c r="L288" s="517"/>
      <c r="M288" s="512">
        <f t="shared" si="27"/>
        <v>0</v>
      </c>
      <c r="N288" s="517"/>
      <c r="O288" s="512">
        <f t="shared" si="28"/>
        <v>0</v>
      </c>
      <c r="P288" s="512">
        <f t="shared" si="29"/>
        <v>0</v>
      </c>
      <c r="Q288" s="473"/>
    </row>
    <row r="289" spans="3:17">
      <c r="C289" s="508">
        <f>IF(D268="","-",+C288+1)</f>
        <v>2029</v>
      </c>
      <c r="D289" s="471">
        <f t="shared" si="30"/>
        <v>18878567.65392857</v>
      </c>
      <c r="E289" s="515">
        <f t="shared" si="31"/>
        <v>680308.74428571411</v>
      </c>
      <c r="F289" s="515">
        <f t="shared" si="24"/>
        <v>18198258.909642857</v>
      </c>
      <c r="G289" s="471">
        <f t="shared" si="25"/>
        <v>18538413.281785712</v>
      </c>
      <c r="H289" s="509">
        <f>+J269*G289+E289</f>
        <v>2722862.2806380205</v>
      </c>
      <c r="I289" s="516">
        <f>+J270*G289+E289</f>
        <v>2722862.2806380205</v>
      </c>
      <c r="J289" s="512">
        <f t="shared" si="26"/>
        <v>0</v>
      </c>
      <c r="K289" s="512"/>
      <c r="L289" s="517"/>
      <c r="M289" s="512">
        <f t="shared" si="27"/>
        <v>0</v>
      </c>
      <c r="N289" s="517"/>
      <c r="O289" s="512">
        <f t="shared" si="28"/>
        <v>0</v>
      </c>
      <c r="P289" s="512">
        <f t="shared" si="29"/>
        <v>0</v>
      </c>
      <c r="Q289" s="473"/>
    </row>
    <row r="290" spans="3:17">
      <c r="C290" s="508">
        <f>IF(D268="","-",+C289+1)</f>
        <v>2030</v>
      </c>
      <c r="D290" s="471">
        <f t="shared" si="30"/>
        <v>18198258.909642857</v>
      </c>
      <c r="E290" s="515">
        <f t="shared" si="31"/>
        <v>680308.74428571411</v>
      </c>
      <c r="F290" s="515">
        <f t="shared" si="24"/>
        <v>17517950.165357143</v>
      </c>
      <c r="G290" s="471">
        <f t="shared" si="25"/>
        <v>17858104.537500001</v>
      </c>
      <c r="H290" s="509">
        <f>+J269*G290+E290</f>
        <v>2647906.1875608722</v>
      </c>
      <c r="I290" s="516">
        <f>+J270*G290+E290</f>
        <v>2647906.1875608722</v>
      </c>
      <c r="J290" s="512">
        <f t="shared" si="26"/>
        <v>0</v>
      </c>
      <c r="K290" s="512"/>
      <c r="L290" s="517"/>
      <c r="M290" s="512">
        <f t="shared" si="27"/>
        <v>0</v>
      </c>
      <c r="N290" s="517"/>
      <c r="O290" s="512">
        <f t="shared" si="28"/>
        <v>0</v>
      </c>
      <c r="P290" s="512">
        <f t="shared" si="29"/>
        <v>0</v>
      </c>
      <c r="Q290" s="473"/>
    </row>
    <row r="291" spans="3:17">
      <c r="C291" s="508">
        <f>IF(D268="","-",+C290+1)</f>
        <v>2031</v>
      </c>
      <c r="D291" s="471">
        <f t="shared" si="30"/>
        <v>17517950.165357143</v>
      </c>
      <c r="E291" s="515">
        <f t="shared" si="31"/>
        <v>680308.74428571411</v>
      </c>
      <c r="F291" s="515">
        <f t="shared" si="24"/>
        <v>16837641.421071429</v>
      </c>
      <c r="G291" s="471">
        <f t="shared" si="25"/>
        <v>17177795.793214284</v>
      </c>
      <c r="H291" s="509">
        <f>+J269*G291+E291</f>
        <v>2572950.0944837229</v>
      </c>
      <c r="I291" s="516">
        <f>+J270*G291+E291</f>
        <v>2572950.0944837229</v>
      </c>
      <c r="J291" s="512">
        <f t="shared" si="26"/>
        <v>0</v>
      </c>
      <c r="K291" s="512"/>
      <c r="L291" s="517"/>
      <c r="M291" s="512">
        <f t="shared" si="27"/>
        <v>0</v>
      </c>
      <c r="N291" s="517"/>
      <c r="O291" s="512">
        <f t="shared" si="28"/>
        <v>0</v>
      </c>
      <c r="P291" s="512">
        <f t="shared" si="29"/>
        <v>0</v>
      </c>
      <c r="Q291" s="473"/>
    </row>
    <row r="292" spans="3:17">
      <c r="C292" s="508">
        <f>IF(D268="","-",+C291+1)</f>
        <v>2032</v>
      </c>
      <c r="D292" s="471">
        <f t="shared" si="30"/>
        <v>16837641.421071429</v>
      </c>
      <c r="E292" s="515">
        <f t="shared" si="31"/>
        <v>680308.74428571411</v>
      </c>
      <c r="F292" s="515">
        <f t="shared" si="24"/>
        <v>16157332.676785715</v>
      </c>
      <c r="G292" s="471">
        <f t="shared" si="25"/>
        <v>16497487.048928572</v>
      </c>
      <c r="H292" s="509">
        <f>+J269*G292+E292</f>
        <v>2497994.0014065746</v>
      </c>
      <c r="I292" s="516">
        <f>+J270*G292+E292</f>
        <v>2497994.0014065746</v>
      </c>
      <c r="J292" s="512">
        <f t="shared" si="26"/>
        <v>0</v>
      </c>
      <c r="K292" s="512"/>
      <c r="L292" s="517"/>
      <c r="M292" s="512">
        <f t="shared" si="27"/>
        <v>0</v>
      </c>
      <c r="N292" s="517"/>
      <c r="O292" s="512">
        <f t="shared" si="28"/>
        <v>0</v>
      </c>
      <c r="P292" s="512">
        <f t="shared" si="29"/>
        <v>0</v>
      </c>
      <c r="Q292" s="473"/>
    </row>
    <row r="293" spans="3:17">
      <c r="C293" s="508">
        <f>IF(D268="","-",+C292+1)</f>
        <v>2033</v>
      </c>
      <c r="D293" s="471">
        <f t="shared" si="30"/>
        <v>16157332.676785715</v>
      </c>
      <c r="E293" s="515">
        <f t="shared" si="31"/>
        <v>680308.74428571411</v>
      </c>
      <c r="F293" s="515">
        <f t="shared" si="24"/>
        <v>15477023.932500001</v>
      </c>
      <c r="G293" s="471">
        <f t="shared" si="25"/>
        <v>15817178.304642858</v>
      </c>
      <c r="H293" s="509">
        <f>+J269*G293+E293</f>
        <v>2423037.9083294254</v>
      </c>
      <c r="I293" s="516">
        <f>+J270*G293+E293</f>
        <v>2423037.9083294254</v>
      </c>
      <c r="J293" s="512">
        <f t="shared" si="26"/>
        <v>0</v>
      </c>
      <c r="K293" s="512"/>
      <c r="L293" s="517"/>
      <c r="M293" s="512">
        <f t="shared" si="27"/>
        <v>0</v>
      </c>
      <c r="N293" s="517"/>
      <c r="O293" s="512">
        <f t="shared" si="28"/>
        <v>0</v>
      </c>
      <c r="P293" s="512">
        <f t="shared" si="29"/>
        <v>0</v>
      </c>
      <c r="Q293" s="473"/>
    </row>
    <row r="294" spans="3:17">
      <c r="C294" s="508">
        <f>IF(D268="","-",+C293+1)</f>
        <v>2034</v>
      </c>
      <c r="D294" s="471">
        <f t="shared" si="30"/>
        <v>15477023.932500001</v>
      </c>
      <c r="E294" s="515">
        <f t="shared" si="31"/>
        <v>680308.74428571411</v>
      </c>
      <c r="F294" s="515">
        <f t="shared" si="24"/>
        <v>14796715.188214287</v>
      </c>
      <c r="G294" s="471">
        <f t="shared" si="25"/>
        <v>15136869.560357144</v>
      </c>
      <c r="H294" s="509">
        <f>+J269*G294+E294</f>
        <v>2348081.8152522771</v>
      </c>
      <c r="I294" s="516">
        <f>+J270*G294+E294</f>
        <v>2348081.8152522771</v>
      </c>
      <c r="J294" s="512">
        <f t="shared" si="26"/>
        <v>0</v>
      </c>
      <c r="K294" s="512"/>
      <c r="L294" s="517"/>
      <c r="M294" s="512">
        <f t="shared" si="27"/>
        <v>0</v>
      </c>
      <c r="N294" s="517"/>
      <c r="O294" s="512">
        <f t="shared" si="28"/>
        <v>0</v>
      </c>
      <c r="P294" s="512">
        <f t="shared" si="29"/>
        <v>0</v>
      </c>
      <c r="Q294" s="473"/>
    </row>
    <row r="295" spans="3:17">
      <c r="C295" s="508">
        <f>IF(D268="","-",+C294+1)</f>
        <v>2035</v>
      </c>
      <c r="D295" s="471">
        <f t="shared" si="30"/>
        <v>14796715.188214287</v>
      </c>
      <c r="E295" s="515">
        <f t="shared" si="31"/>
        <v>680308.74428571411</v>
      </c>
      <c r="F295" s="515">
        <f t="shared" si="24"/>
        <v>14116406.443928573</v>
      </c>
      <c r="G295" s="471">
        <f t="shared" si="25"/>
        <v>14456560.81607143</v>
      </c>
      <c r="H295" s="509">
        <f>+J269*G295+E295</f>
        <v>2273125.7221751278</v>
      </c>
      <c r="I295" s="516">
        <f>+J270*G295+E295</f>
        <v>2273125.7221751278</v>
      </c>
      <c r="J295" s="512">
        <f t="shared" si="26"/>
        <v>0</v>
      </c>
      <c r="K295" s="512"/>
      <c r="L295" s="517"/>
      <c r="M295" s="512">
        <f t="shared" si="27"/>
        <v>0</v>
      </c>
      <c r="N295" s="517"/>
      <c r="O295" s="512">
        <f t="shared" si="28"/>
        <v>0</v>
      </c>
      <c r="P295" s="512">
        <f t="shared" si="29"/>
        <v>0</v>
      </c>
      <c r="Q295" s="473"/>
    </row>
    <row r="296" spans="3:17">
      <c r="C296" s="508">
        <f>IF(D268="","-",+C295+1)</f>
        <v>2036</v>
      </c>
      <c r="D296" s="471">
        <f t="shared" si="30"/>
        <v>14116406.443928573</v>
      </c>
      <c r="E296" s="515">
        <f t="shared" si="31"/>
        <v>680308.74428571411</v>
      </c>
      <c r="F296" s="515">
        <f t="shared" si="24"/>
        <v>13436097.699642859</v>
      </c>
      <c r="G296" s="471">
        <f t="shared" si="25"/>
        <v>13776252.071785716</v>
      </c>
      <c r="H296" s="509">
        <f>+J269*G296+E296</f>
        <v>2198169.6290979791</v>
      </c>
      <c r="I296" s="516">
        <f>+J270*G296+E296</f>
        <v>2198169.6290979791</v>
      </c>
      <c r="J296" s="512">
        <f t="shared" si="26"/>
        <v>0</v>
      </c>
      <c r="K296" s="512"/>
      <c r="L296" s="517"/>
      <c r="M296" s="512">
        <f t="shared" si="27"/>
        <v>0</v>
      </c>
      <c r="N296" s="517"/>
      <c r="O296" s="512">
        <f t="shared" si="28"/>
        <v>0</v>
      </c>
      <c r="P296" s="512">
        <f t="shared" si="29"/>
        <v>0</v>
      </c>
      <c r="Q296" s="473"/>
    </row>
    <row r="297" spans="3:17">
      <c r="C297" s="508">
        <f>IF(D268="","-",+C296+1)</f>
        <v>2037</v>
      </c>
      <c r="D297" s="471">
        <f t="shared" si="30"/>
        <v>13436097.699642859</v>
      </c>
      <c r="E297" s="515">
        <f t="shared" si="31"/>
        <v>680308.74428571411</v>
      </c>
      <c r="F297" s="515">
        <f t="shared" si="24"/>
        <v>12755788.955357146</v>
      </c>
      <c r="G297" s="471">
        <f t="shared" si="25"/>
        <v>13095943.327500002</v>
      </c>
      <c r="H297" s="509">
        <f>+J269*G297+E297</f>
        <v>2123213.5360208303</v>
      </c>
      <c r="I297" s="516">
        <f>+J270*G297+E297</f>
        <v>2123213.5360208303</v>
      </c>
      <c r="J297" s="512">
        <f t="shared" si="26"/>
        <v>0</v>
      </c>
      <c r="K297" s="512"/>
      <c r="L297" s="517"/>
      <c r="M297" s="512">
        <f t="shared" si="27"/>
        <v>0</v>
      </c>
      <c r="N297" s="517"/>
      <c r="O297" s="512">
        <f t="shared" si="28"/>
        <v>0</v>
      </c>
      <c r="P297" s="512">
        <f t="shared" si="29"/>
        <v>0</v>
      </c>
      <c r="Q297" s="473"/>
    </row>
    <row r="298" spans="3:17">
      <c r="C298" s="508">
        <f>IF(D268="","-",+C297+1)</f>
        <v>2038</v>
      </c>
      <c r="D298" s="471">
        <f t="shared" si="30"/>
        <v>12755788.955357146</v>
      </c>
      <c r="E298" s="515">
        <f t="shared" si="31"/>
        <v>680308.74428571411</v>
      </c>
      <c r="F298" s="515">
        <f t="shared" si="24"/>
        <v>12075480.211071432</v>
      </c>
      <c r="G298" s="471">
        <f t="shared" si="25"/>
        <v>12415634.583214289</v>
      </c>
      <c r="H298" s="509">
        <f>+J269*G298+E298</f>
        <v>2048257.4429436815</v>
      </c>
      <c r="I298" s="516">
        <f>+J270*G298+E298</f>
        <v>2048257.4429436815</v>
      </c>
      <c r="J298" s="512">
        <f t="shared" si="26"/>
        <v>0</v>
      </c>
      <c r="K298" s="512"/>
      <c r="L298" s="517"/>
      <c r="M298" s="512">
        <f t="shared" si="27"/>
        <v>0</v>
      </c>
      <c r="N298" s="517"/>
      <c r="O298" s="512">
        <f t="shared" si="28"/>
        <v>0</v>
      </c>
      <c r="P298" s="512">
        <f t="shared" si="29"/>
        <v>0</v>
      </c>
      <c r="Q298" s="473"/>
    </row>
    <row r="299" spans="3:17">
      <c r="C299" s="508">
        <f>IF(D268="","-",+C298+1)</f>
        <v>2039</v>
      </c>
      <c r="D299" s="471">
        <f t="shared" si="30"/>
        <v>12075480.211071432</v>
      </c>
      <c r="E299" s="515">
        <f t="shared" si="31"/>
        <v>680308.74428571411</v>
      </c>
      <c r="F299" s="515">
        <f t="shared" si="24"/>
        <v>11395171.466785718</v>
      </c>
      <c r="G299" s="471">
        <f t="shared" si="25"/>
        <v>11735325.838928575</v>
      </c>
      <c r="H299" s="509">
        <f>+J269*G299+E299</f>
        <v>1973301.3498665325</v>
      </c>
      <c r="I299" s="516">
        <f>+J270*G299+E299</f>
        <v>1973301.3498665325</v>
      </c>
      <c r="J299" s="512">
        <f t="shared" si="26"/>
        <v>0</v>
      </c>
      <c r="K299" s="512"/>
      <c r="L299" s="517"/>
      <c r="M299" s="512">
        <f t="shared" si="27"/>
        <v>0</v>
      </c>
      <c r="N299" s="517"/>
      <c r="O299" s="512">
        <f t="shared" si="28"/>
        <v>0</v>
      </c>
      <c r="P299" s="512">
        <f t="shared" si="29"/>
        <v>0</v>
      </c>
      <c r="Q299" s="473"/>
    </row>
    <row r="300" spans="3:17">
      <c r="C300" s="508">
        <f>IF(D268="","-",+C299+1)</f>
        <v>2040</v>
      </c>
      <c r="D300" s="471">
        <f t="shared" si="30"/>
        <v>11395171.466785718</v>
      </c>
      <c r="E300" s="515">
        <f t="shared" si="31"/>
        <v>680308.74428571411</v>
      </c>
      <c r="F300" s="515">
        <f t="shared" si="24"/>
        <v>10714862.722500004</v>
      </c>
      <c r="G300" s="471">
        <f t="shared" si="25"/>
        <v>11055017.094642861</v>
      </c>
      <c r="H300" s="509">
        <f>+J269*G300+E300</f>
        <v>1898345.2567893837</v>
      </c>
      <c r="I300" s="516">
        <f>+J270*G300+E300</f>
        <v>1898345.2567893837</v>
      </c>
      <c r="J300" s="512">
        <f t="shared" si="26"/>
        <v>0</v>
      </c>
      <c r="K300" s="512"/>
      <c r="L300" s="517"/>
      <c r="M300" s="512">
        <f t="shared" si="27"/>
        <v>0</v>
      </c>
      <c r="N300" s="517"/>
      <c r="O300" s="512">
        <f t="shared" si="28"/>
        <v>0</v>
      </c>
      <c r="P300" s="512">
        <f t="shared" si="29"/>
        <v>0</v>
      </c>
      <c r="Q300" s="473"/>
    </row>
    <row r="301" spans="3:17">
      <c r="C301" s="508">
        <f>IF(D268="","-",+C300+1)</f>
        <v>2041</v>
      </c>
      <c r="D301" s="471">
        <f t="shared" si="30"/>
        <v>10714862.722500004</v>
      </c>
      <c r="E301" s="515">
        <f t="shared" si="31"/>
        <v>680308.74428571411</v>
      </c>
      <c r="F301" s="515">
        <f t="shared" si="24"/>
        <v>10034553.97821429</v>
      </c>
      <c r="G301" s="471">
        <f t="shared" si="25"/>
        <v>10374708.350357147</v>
      </c>
      <c r="H301" s="509">
        <f>+J269*G301+E301</f>
        <v>1823389.1637122349</v>
      </c>
      <c r="I301" s="516">
        <f>+J270*G301+E301</f>
        <v>1823389.1637122349</v>
      </c>
      <c r="J301" s="512">
        <f t="shared" si="26"/>
        <v>0</v>
      </c>
      <c r="K301" s="512"/>
      <c r="L301" s="517"/>
      <c r="M301" s="512">
        <f t="shared" si="27"/>
        <v>0</v>
      </c>
      <c r="N301" s="517"/>
      <c r="O301" s="512">
        <f t="shared" si="28"/>
        <v>0</v>
      </c>
      <c r="P301" s="512">
        <f t="shared" si="29"/>
        <v>0</v>
      </c>
      <c r="Q301" s="473"/>
    </row>
    <row r="302" spans="3:17">
      <c r="C302" s="508">
        <f>IF(D268="","-",+C301+1)</f>
        <v>2042</v>
      </c>
      <c r="D302" s="471">
        <f t="shared" si="30"/>
        <v>10034553.97821429</v>
      </c>
      <c r="E302" s="515">
        <f t="shared" si="31"/>
        <v>680308.74428571411</v>
      </c>
      <c r="F302" s="515">
        <f t="shared" si="24"/>
        <v>9354245.2339285761</v>
      </c>
      <c r="G302" s="471">
        <f t="shared" si="25"/>
        <v>9694399.6060714331</v>
      </c>
      <c r="H302" s="509">
        <f>+J269*G302+E302</f>
        <v>1748433.0706350862</v>
      </c>
      <c r="I302" s="516">
        <f>+J270*G302+E302</f>
        <v>1748433.0706350862</v>
      </c>
      <c r="J302" s="512">
        <f t="shared" si="26"/>
        <v>0</v>
      </c>
      <c r="K302" s="512"/>
      <c r="L302" s="517"/>
      <c r="M302" s="512">
        <f t="shared" si="27"/>
        <v>0</v>
      </c>
      <c r="N302" s="517"/>
      <c r="O302" s="512">
        <f t="shared" si="28"/>
        <v>0</v>
      </c>
      <c r="P302" s="512">
        <f t="shared" si="29"/>
        <v>0</v>
      </c>
      <c r="Q302" s="473"/>
    </row>
    <row r="303" spans="3:17">
      <c r="C303" s="508">
        <f>IF(D268="","-",+C302+1)</f>
        <v>2043</v>
      </c>
      <c r="D303" s="471">
        <f t="shared" si="30"/>
        <v>9354245.2339285761</v>
      </c>
      <c r="E303" s="515">
        <f t="shared" si="31"/>
        <v>680308.74428571411</v>
      </c>
      <c r="F303" s="515">
        <f t="shared" si="24"/>
        <v>8673936.4896428622</v>
      </c>
      <c r="G303" s="471">
        <f t="shared" si="25"/>
        <v>9014090.8617857192</v>
      </c>
      <c r="H303" s="509">
        <f>+J269*G303+E303</f>
        <v>1673476.9775579371</v>
      </c>
      <c r="I303" s="516">
        <f>+J270*G303+E303</f>
        <v>1673476.9775579371</v>
      </c>
      <c r="J303" s="512">
        <f t="shared" si="26"/>
        <v>0</v>
      </c>
      <c r="K303" s="512"/>
      <c r="L303" s="517"/>
      <c r="M303" s="512">
        <f t="shared" si="27"/>
        <v>0</v>
      </c>
      <c r="N303" s="517"/>
      <c r="O303" s="512">
        <f t="shared" si="28"/>
        <v>0</v>
      </c>
      <c r="P303" s="512">
        <f t="shared" si="29"/>
        <v>0</v>
      </c>
      <c r="Q303" s="473"/>
    </row>
    <row r="304" spans="3:17">
      <c r="C304" s="508">
        <f>IF(D268="","-",+C303+1)</f>
        <v>2044</v>
      </c>
      <c r="D304" s="471">
        <f t="shared" si="30"/>
        <v>8673936.4896428622</v>
      </c>
      <c r="E304" s="515">
        <f t="shared" si="31"/>
        <v>680308.74428571411</v>
      </c>
      <c r="F304" s="515">
        <f t="shared" si="24"/>
        <v>7993627.7453571483</v>
      </c>
      <c r="G304" s="471">
        <f t="shared" si="25"/>
        <v>8333782.1175000053</v>
      </c>
      <c r="H304" s="509">
        <f>+J269*G304+E304</f>
        <v>1598520.8844807884</v>
      </c>
      <c r="I304" s="516">
        <f>+J270*G304+E304</f>
        <v>1598520.8844807884</v>
      </c>
      <c r="J304" s="512">
        <f t="shared" si="26"/>
        <v>0</v>
      </c>
      <c r="K304" s="512"/>
      <c r="L304" s="517"/>
      <c r="M304" s="512">
        <f t="shared" si="27"/>
        <v>0</v>
      </c>
      <c r="N304" s="517"/>
      <c r="O304" s="512">
        <f t="shared" si="28"/>
        <v>0</v>
      </c>
      <c r="P304" s="512">
        <f t="shared" si="29"/>
        <v>0</v>
      </c>
      <c r="Q304" s="473"/>
    </row>
    <row r="305" spans="3:17">
      <c r="C305" s="508">
        <f>IF(D268="","-",+C304+1)</f>
        <v>2045</v>
      </c>
      <c r="D305" s="471">
        <f t="shared" si="30"/>
        <v>7993627.7453571483</v>
      </c>
      <c r="E305" s="515">
        <f t="shared" si="31"/>
        <v>680308.74428571411</v>
      </c>
      <c r="F305" s="515">
        <f t="shared" si="24"/>
        <v>7313319.0010714345</v>
      </c>
      <c r="G305" s="471">
        <f t="shared" si="25"/>
        <v>7653473.3732142914</v>
      </c>
      <c r="H305" s="509">
        <f>+J269*G305+E305</f>
        <v>1523564.7914036396</v>
      </c>
      <c r="I305" s="516">
        <f>+J270*G305+E305</f>
        <v>1523564.7914036396</v>
      </c>
      <c r="J305" s="512">
        <f t="shared" si="26"/>
        <v>0</v>
      </c>
      <c r="K305" s="512"/>
      <c r="L305" s="517"/>
      <c r="M305" s="512">
        <f t="shared" si="27"/>
        <v>0</v>
      </c>
      <c r="N305" s="517"/>
      <c r="O305" s="512">
        <f t="shared" si="28"/>
        <v>0</v>
      </c>
      <c r="P305" s="512">
        <f t="shared" si="29"/>
        <v>0</v>
      </c>
      <c r="Q305" s="473"/>
    </row>
    <row r="306" spans="3:17">
      <c r="C306" s="508">
        <f>IF(D268="","-",+C305+1)</f>
        <v>2046</v>
      </c>
      <c r="D306" s="471">
        <f t="shared" si="30"/>
        <v>7313319.0010714345</v>
      </c>
      <c r="E306" s="515">
        <f t="shared" si="31"/>
        <v>680308.74428571411</v>
      </c>
      <c r="F306" s="515">
        <f t="shared" si="24"/>
        <v>6633010.2567857206</v>
      </c>
      <c r="G306" s="471">
        <f t="shared" si="25"/>
        <v>6973164.6289285775</v>
      </c>
      <c r="H306" s="509">
        <f>+J269*G306+E306</f>
        <v>1448608.6983264908</v>
      </c>
      <c r="I306" s="516">
        <f>+J270*G306+E306</f>
        <v>1448608.6983264908</v>
      </c>
      <c r="J306" s="512">
        <f t="shared" si="26"/>
        <v>0</v>
      </c>
      <c r="K306" s="512"/>
      <c r="L306" s="517"/>
      <c r="M306" s="512">
        <f t="shared" si="27"/>
        <v>0</v>
      </c>
      <c r="N306" s="517"/>
      <c r="O306" s="512">
        <f t="shared" si="28"/>
        <v>0</v>
      </c>
      <c r="P306" s="512">
        <f t="shared" si="29"/>
        <v>0</v>
      </c>
      <c r="Q306" s="473"/>
    </row>
    <row r="307" spans="3:17">
      <c r="C307" s="508">
        <f>IF(D268="","-",+C306+1)</f>
        <v>2047</v>
      </c>
      <c r="D307" s="471">
        <f t="shared" si="30"/>
        <v>6633010.2567857206</v>
      </c>
      <c r="E307" s="515">
        <f t="shared" si="31"/>
        <v>680308.74428571411</v>
      </c>
      <c r="F307" s="515">
        <f t="shared" si="24"/>
        <v>5952701.5125000067</v>
      </c>
      <c r="G307" s="471">
        <f t="shared" si="25"/>
        <v>6292855.8846428636</v>
      </c>
      <c r="H307" s="509">
        <f>+J269*G307+E307</f>
        <v>1373652.605249342</v>
      </c>
      <c r="I307" s="516">
        <f>+J270*G307+E307</f>
        <v>1373652.605249342</v>
      </c>
      <c r="J307" s="512">
        <f t="shared" si="26"/>
        <v>0</v>
      </c>
      <c r="K307" s="512"/>
      <c r="L307" s="517"/>
      <c r="M307" s="512">
        <f t="shared" si="27"/>
        <v>0</v>
      </c>
      <c r="N307" s="517"/>
      <c r="O307" s="512">
        <f t="shared" si="28"/>
        <v>0</v>
      </c>
      <c r="P307" s="512">
        <f t="shared" si="29"/>
        <v>0</v>
      </c>
      <c r="Q307" s="473"/>
    </row>
    <row r="308" spans="3:17">
      <c r="C308" s="508">
        <f>IF(D268="","-",+C307+1)</f>
        <v>2048</v>
      </c>
      <c r="D308" s="471">
        <f t="shared" si="30"/>
        <v>5952701.5125000067</v>
      </c>
      <c r="E308" s="515">
        <f t="shared" si="31"/>
        <v>680308.74428571411</v>
      </c>
      <c r="F308" s="515">
        <f t="shared" si="24"/>
        <v>5272392.7682142928</v>
      </c>
      <c r="G308" s="471">
        <f t="shared" si="25"/>
        <v>5612547.1403571498</v>
      </c>
      <c r="H308" s="509">
        <f>+J269*G308+E308</f>
        <v>1298696.5121721933</v>
      </c>
      <c r="I308" s="516">
        <f>+J270*G308+E308</f>
        <v>1298696.5121721933</v>
      </c>
      <c r="J308" s="512">
        <f t="shared" si="26"/>
        <v>0</v>
      </c>
      <c r="K308" s="512"/>
      <c r="L308" s="517"/>
      <c r="M308" s="512">
        <f t="shared" si="27"/>
        <v>0</v>
      </c>
      <c r="N308" s="517"/>
      <c r="O308" s="512">
        <f t="shared" si="28"/>
        <v>0</v>
      </c>
      <c r="P308" s="512">
        <f t="shared" si="29"/>
        <v>0</v>
      </c>
      <c r="Q308" s="473"/>
    </row>
    <row r="309" spans="3:17">
      <c r="C309" s="508">
        <f>IF(D268="","-",+C308+1)</f>
        <v>2049</v>
      </c>
      <c r="D309" s="471">
        <f t="shared" si="30"/>
        <v>5272392.7682142928</v>
      </c>
      <c r="E309" s="515">
        <f t="shared" si="31"/>
        <v>680308.74428571411</v>
      </c>
      <c r="F309" s="515">
        <f t="shared" si="24"/>
        <v>4592084.0239285789</v>
      </c>
      <c r="G309" s="471">
        <f t="shared" si="25"/>
        <v>4932238.3960714359</v>
      </c>
      <c r="H309" s="509">
        <f>+J269*G309+E309</f>
        <v>1223740.4190950443</v>
      </c>
      <c r="I309" s="516">
        <f>+J270*G309+E309</f>
        <v>1223740.4190950443</v>
      </c>
      <c r="J309" s="512">
        <f t="shared" si="26"/>
        <v>0</v>
      </c>
      <c r="K309" s="512"/>
      <c r="L309" s="517"/>
      <c r="M309" s="512">
        <f t="shared" si="27"/>
        <v>0</v>
      </c>
      <c r="N309" s="517"/>
      <c r="O309" s="512">
        <f t="shared" si="28"/>
        <v>0</v>
      </c>
      <c r="P309" s="512">
        <f t="shared" si="29"/>
        <v>0</v>
      </c>
      <c r="Q309" s="473"/>
    </row>
    <row r="310" spans="3:17">
      <c r="C310" s="508">
        <f>IF(D268="","-",+C309+1)</f>
        <v>2050</v>
      </c>
      <c r="D310" s="471">
        <f t="shared" si="30"/>
        <v>4592084.0239285789</v>
      </c>
      <c r="E310" s="515">
        <f t="shared" si="31"/>
        <v>680308.74428571411</v>
      </c>
      <c r="F310" s="515">
        <f t="shared" si="24"/>
        <v>3911775.2796428651</v>
      </c>
      <c r="G310" s="471">
        <f t="shared" si="25"/>
        <v>4251929.651785722</v>
      </c>
      <c r="H310" s="509">
        <f>+J269*G310+E310</f>
        <v>1148784.3260178955</v>
      </c>
      <c r="I310" s="516">
        <f>+J270*G310+E310</f>
        <v>1148784.3260178955</v>
      </c>
      <c r="J310" s="512">
        <f t="shared" si="26"/>
        <v>0</v>
      </c>
      <c r="K310" s="512"/>
      <c r="L310" s="517"/>
      <c r="M310" s="512">
        <f t="shared" si="27"/>
        <v>0</v>
      </c>
      <c r="N310" s="517"/>
      <c r="O310" s="512">
        <f t="shared" si="28"/>
        <v>0</v>
      </c>
      <c r="P310" s="512">
        <f t="shared" si="29"/>
        <v>0</v>
      </c>
      <c r="Q310" s="473"/>
    </row>
    <row r="311" spans="3:17">
      <c r="C311" s="508">
        <f>IF(D268="","-",+C310+1)</f>
        <v>2051</v>
      </c>
      <c r="D311" s="471">
        <f t="shared" si="30"/>
        <v>3911775.2796428651</v>
      </c>
      <c r="E311" s="515">
        <f t="shared" si="31"/>
        <v>680308.74428571411</v>
      </c>
      <c r="F311" s="515">
        <f t="shared" si="24"/>
        <v>3231466.5353571512</v>
      </c>
      <c r="G311" s="471">
        <f t="shared" si="25"/>
        <v>3571620.9075000081</v>
      </c>
      <c r="H311" s="509">
        <f>+J269*G311+E311</f>
        <v>1073828.2329407465</v>
      </c>
      <c r="I311" s="516">
        <f>+J270*G311+E311</f>
        <v>1073828.2329407465</v>
      </c>
      <c r="J311" s="512">
        <f t="shared" si="26"/>
        <v>0</v>
      </c>
      <c r="K311" s="512"/>
      <c r="L311" s="517"/>
      <c r="M311" s="512">
        <f t="shared" si="27"/>
        <v>0</v>
      </c>
      <c r="N311" s="517"/>
      <c r="O311" s="512">
        <f t="shared" si="28"/>
        <v>0</v>
      </c>
      <c r="P311" s="512">
        <f t="shared" si="29"/>
        <v>0</v>
      </c>
      <c r="Q311" s="473"/>
    </row>
    <row r="312" spans="3:17">
      <c r="C312" s="508">
        <f>IF(D268="","-",+C311+1)</f>
        <v>2052</v>
      </c>
      <c r="D312" s="471">
        <f t="shared" si="30"/>
        <v>3231466.5353571512</v>
      </c>
      <c r="E312" s="515">
        <f t="shared" si="31"/>
        <v>680308.74428571411</v>
      </c>
      <c r="F312" s="515">
        <f t="shared" si="24"/>
        <v>2551157.7910714373</v>
      </c>
      <c r="G312" s="471">
        <f t="shared" si="25"/>
        <v>2891312.1632142942</v>
      </c>
      <c r="H312" s="509">
        <f>+J269*G312+E312</f>
        <v>998872.13986359769</v>
      </c>
      <c r="I312" s="516">
        <f>+J270*G312+E312</f>
        <v>998872.13986359769</v>
      </c>
      <c r="J312" s="512">
        <f t="shared" si="26"/>
        <v>0</v>
      </c>
      <c r="K312" s="512"/>
      <c r="L312" s="517"/>
      <c r="M312" s="512">
        <f t="shared" si="27"/>
        <v>0</v>
      </c>
      <c r="N312" s="517"/>
      <c r="O312" s="512">
        <f t="shared" si="28"/>
        <v>0</v>
      </c>
      <c r="P312" s="512">
        <f t="shared" si="29"/>
        <v>0</v>
      </c>
      <c r="Q312" s="473"/>
    </row>
    <row r="313" spans="3:17">
      <c r="C313" s="508">
        <f>IF(D268="","-",+C312+1)</f>
        <v>2053</v>
      </c>
      <c r="D313" s="471">
        <f t="shared" si="30"/>
        <v>2551157.7910714373</v>
      </c>
      <c r="E313" s="515">
        <f t="shared" si="31"/>
        <v>680308.74428571411</v>
      </c>
      <c r="F313" s="515">
        <f t="shared" si="24"/>
        <v>1870849.0467857232</v>
      </c>
      <c r="G313" s="471">
        <f t="shared" si="25"/>
        <v>2211003.4189285804</v>
      </c>
      <c r="H313" s="509">
        <f>+J269*G313+E313</f>
        <v>923916.04678644892</v>
      </c>
      <c r="I313" s="516">
        <f>+J270*G313+E313</f>
        <v>923916.04678644892</v>
      </c>
      <c r="J313" s="512">
        <f t="shared" si="26"/>
        <v>0</v>
      </c>
      <c r="K313" s="512"/>
      <c r="L313" s="517"/>
      <c r="M313" s="512">
        <f t="shared" si="27"/>
        <v>0</v>
      </c>
      <c r="N313" s="517"/>
      <c r="O313" s="512">
        <f t="shared" si="28"/>
        <v>0</v>
      </c>
      <c r="P313" s="512">
        <f t="shared" si="29"/>
        <v>0</v>
      </c>
      <c r="Q313" s="473"/>
    </row>
    <row r="314" spans="3:17">
      <c r="C314" s="508">
        <f>IF(D268="","-",+C313+1)</f>
        <v>2054</v>
      </c>
      <c r="D314" s="471">
        <f t="shared" si="30"/>
        <v>1870849.0467857232</v>
      </c>
      <c r="E314" s="515">
        <f t="shared" si="31"/>
        <v>680308.74428571411</v>
      </c>
      <c r="F314" s="515">
        <f t="shared" si="24"/>
        <v>1190540.3025000091</v>
      </c>
      <c r="G314" s="471">
        <f t="shared" si="25"/>
        <v>1530694.674642866</v>
      </c>
      <c r="H314" s="509">
        <f>+J269*G314+E314</f>
        <v>848959.95370930003</v>
      </c>
      <c r="I314" s="516">
        <f>+J270*G314+E314</f>
        <v>848959.95370930003</v>
      </c>
      <c r="J314" s="512">
        <f t="shared" si="26"/>
        <v>0</v>
      </c>
      <c r="K314" s="512"/>
      <c r="L314" s="517"/>
      <c r="M314" s="512">
        <f t="shared" si="27"/>
        <v>0</v>
      </c>
      <c r="N314" s="517"/>
      <c r="O314" s="512">
        <f t="shared" si="28"/>
        <v>0</v>
      </c>
      <c r="P314" s="512">
        <f t="shared" si="29"/>
        <v>0</v>
      </c>
      <c r="Q314" s="473"/>
    </row>
    <row r="315" spans="3:17">
      <c r="C315" s="508">
        <f>IF(D268="","-",+C314+1)</f>
        <v>2055</v>
      </c>
      <c r="D315" s="471">
        <f t="shared" si="30"/>
        <v>1190540.3025000091</v>
      </c>
      <c r="E315" s="515">
        <f t="shared" si="31"/>
        <v>680308.74428571411</v>
      </c>
      <c r="F315" s="515">
        <f t="shared" si="24"/>
        <v>510231.55821429496</v>
      </c>
      <c r="G315" s="471">
        <f t="shared" si="25"/>
        <v>850385.93035715201</v>
      </c>
      <c r="H315" s="509">
        <f>+J269*G315+E315</f>
        <v>774003.86063215125</v>
      </c>
      <c r="I315" s="516">
        <f>+J270*G315+E315</f>
        <v>774003.86063215125</v>
      </c>
      <c r="J315" s="512">
        <f t="shared" si="26"/>
        <v>0</v>
      </c>
      <c r="K315" s="512"/>
      <c r="L315" s="517"/>
      <c r="M315" s="512">
        <f t="shared" si="27"/>
        <v>0</v>
      </c>
      <c r="N315" s="517"/>
      <c r="O315" s="512">
        <f t="shared" si="28"/>
        <v>0</v>
      </c>
      <c r="P315" s="512">
        <f t="shared" si="29"/>
        <v>0</v>
      </c>
      <c r="Q315" s="473"/>
    </row>
    <row r="316" spans="3:17">
      <c r="C316" s="508">
        <f>IF(D268="","-",+C315+1)</f>
        <v>2056</v>
      </c>
      <c r="D316" s="471">
        <f t="shared" si="30"/>
        <v>510231.55821429496</v>
      </c>
      <c r="E316" s="515">
        <f t="shared" si="31"/>
        <v>510231.55821429496</v>
      </c>
      <c r="F316" s="515">
        <f t="shared" si="24"/>
        <v>0</v>
      </c>
      <c r="G316" s="471">
        <f t="shared" si="25"/>
        <v>255115.77910714748</v>
      </c>
      <c r="H316" s="509">
        <f>+J269*G316+E316</f>
        <v>538340.09311822627</v>
      </c>
      <c r="I316" s="516">
        <f>+J270*G316+E316</f>
        <v>538340.09311822627</v>
      </c>
      <c r="J316" s="512">
        <f t="shared" si="26"/>
        <v>0</v>
      </c>
      <c r="K316" s="512"/>
      <c r="L316" s="517"/>
      <c r="M316" s="512">
        <f t="shared" si="27"/>
        <v>0</v>
      </c>
      <c r="N316" s="517"/>
      <c r="O316" s="512">
        <f t="shared" si="28"/>
        <v>0</v>
      </c>
      <c r="P316" s="512">
        <f t="shared" si="29"/>
        <v>0</v>
      </c>
      <c r="Q316" s="473"/>
    </row>
    <row r="317" spans="3:17">
      <c r="C317" s="508">
        <f>IF(D268="","-",+C316+1)</f>
        <v>2057</v>
      </c>
      <c r="D317" s="471">
        <f t="shared" si="30"/>
        <v>0</v>
      </c>
      <c r="E317" s="515">
        <f t="shared" si="31"/>
        <v>0</v>
      </c>
      <c r="F317" s="515">
        <f t="shared" si="24"/>
        <v>0</v>
      </c>
      <c r="G317" s="471">
        <f t="shared" si="25"/>
        <v>0</v>
      </c>
      <c r="H317" s="509">
        <f>+J269*G317+E317</f>
        <v>0</v>
      </c>
      <c r="I317" s="516">
        <f>+J270*G317+E317</f>
        <v>0</v>
      </c>
      <c r="J317" s="512">
        <f t="shared" si="26"/>
        <v>0</v>
      </c>
      <c r="K317" s="512"/>
      <c r="L317" s="517"/>
      <c r="M317" s="512">
        <f t="shared" si="27"/>
        <v>0</v>
      </c>
      <c r="N317" s="517"/>
      <c r="O317" s="512">
        <f t="shared" si="28"/>
        <v>0</v>
      </c>
      <c r="P317" s="512">
        <f t="shared" si="29"/>
        <v>0</v>
      </c>
      <c r="Q317" s="473"/>
    </row>
    <row r="318" spans="3:17">
      <c r="C318" s="508">
        <f>IF(D268="","-",+C317+1)</f>
        <v>2058</v>
      </c>
      <c r="D318" s="471">
        <f t="shared" si="30"/>
        <v>0</v>
      </c>
      <c r="E318" s="515">
        <f t="shared" si="31"/>
        <v>0</v>
      </c>
      <c r="F318" s="515">
        <f t="shared" si="24"/>
        <v>0</v>
      </c>
      <c r="G318" s="471">
        <f t="shared" si="25"/>
        <v>0</v>
      </c>
      <c r="H318" s="509">
        <f>+J269*G318+E318</f>
        <v>0</v>
      </c>
      <c r="I318" s="516">
        <f>+J270*G318+E318</f>
        <v>0</v>
      </c>
      <c r="J318" s="512">
        <f t="shared" si="26"/>
        <v>0</v>
      </c>
      <c r="K318" s="512"/>
      <c r="L318" s="517"/>
      <c r="M318" s="512">
        <f t="shared" si="27"/>
        <v>0</v>
      </c>
      <c r="N318" s="517"/>
      <c r="O318" s="512">
        <f t="shared" si="28"/>
        <v>0</v>
      </c>
      <c r="P318" s="512">
        <f t="shared" si="29"/>
        <v>0</v>
      </c>
      <c r="Q318" s="473"/>
    </row>
    <row r="319" spans="3:17">
      <c r="C319" s="508">
        <f>IF(D268="","-",+C318+1)</f>
        <v>2059</v>
      </c>
      <c r="D319" s="471">
        <f t="shared" si="30"/>
        <v>0</v>
      </c>
      <c r="E319" s="515">
        <f t="shared" si="31"/>
        <v>0</v>
      </c>
      <c r="F319" s="515">
        <f t="shared" si="24"/>
        <v>0</v>
      </c>
      <c r="G319" s="471">
        <f t="shared" si="25"/>
        <v>0</v>
      </c>
      <c r="H319" s="509">
        <f>+J269*G319+E319</f>
        <v>0</v>
      </c>
      <c r="I319" s="516">
        <f>+J270*G319+E319</f>
        <v>0</v>
      </c>
      <c r="J319" s="512">
        <f t="shared" si="26"/>
        <v>0</v>
      </c>
      <c r="K319" s="512"/>
      <c r="L319" s="517"/>
      <c r="M319" s="512">
        <f t="shared" si="27"/>
        <v>0</v>
      </c>
      <c r="N319" s="517"/>
      <c r="O319" s="512">
        <f t="shared" si="28"/>
        <v>0</v>
      </c>
      <c r="P319" s="512">
        <f t="shared" si="29"/>
        <v>0</v>
      </c>
      <c r="Q319" s="473"/>
    </row>
    <row r="320" spans="3:17">
      <c r="C320" s="508">
        <f>IF(D268="","-",+C319+1)</f>
        <v>2060</v>
      </c>
      <c r="D320" s="471">
        <f t="shared" si="30"/>
        <v>0</v>
      </c>
      <c r="E320" s="515">
        <f t="shared" si="31"/>
        <v>0</v>
      </c>
      <c r="F320" s="515">
        <f t="shared" si="24"/>
        <v>0</v>
      </c>
      <c r="G320" s="471">
        <f t="shared" si="25"/>
        <v>0</v>
      </c>
      <c r="H320" s="509">
        <f>+J269*G320+E320</f>
        <v>0</v>
      </c>
      <c r="I320" s="516">
        <f>+J270*G320+E320</f>
        <v>0</v>
      </c>
      <c r="J320" s="512">
        <f t="shared" si="26"/>
        <v>0</v>
      </c>
      <c r="K320" s="512"/>
      <c r="L320" s="517"/>
      <c r="M320" s="512">
        <f t="shared" si="27"/>
        <v>0</v>
      </c>
      <c r="N320" s="517"/>
      <c r="O320" s="512">
        <f t="shared" si="28"/>
        <v>0</v>
      </c>
      <c r="P320" s="512">
        <f t="shared" si="29"/>
        <v>0</v>
      </c>
      <c r="Q320" s="473"/>
    </row>
    <row r="321" spans="3:17">
      <c r="C321" s="508">
        <f>IF(D268="","-",+C320+1)</f>
        <v>2061</v>
      </c>
      <c r="D321" s="471">
        <f t="shared" si="30"/>
        <v>0</v>
      </c>
      <c r="E321" s="515">
        <f t="shared" si="31"/>
        <v>0</v>
      </c>
      <c r="F321" s="515">
        <f t="shared" si="24"/>
        <v>0</v>
      </c>
      <c r="G321" s="471">
        <f t="shared" si="25"/>
        <v>0</v>
      </c>
      <c r="H321" s="509">
        <f>+J269*G321+E321</f>
        <v>0</v>
      </c>
      <c r="I321" s="516">
        <f>+J270*G321+E321</f>
        <v>0</v>
      </c>
      <c r="J321" s="512">
        <f t="shared" si="26"/>
        <v>0</v>
      </c>
      <c r="K321" s="512"/>
      <c r="L321" s="517"/>
      <c r="M321" s="512">
        <f t="shared" si="27"/>
        <v>0</v>
      </c>
      <c r="N321" s="517"/>
      <c r="O321" s="512">
        <f t="shared" si="28"/>
        <v>0</v>
      </c>
      <c r="P321" s="512">
        <f t="shared" si="29"/>
        <v>0</v>
      </c>
      <c r="Q321" s="473"/>
    </row>
    <row r="322" spans="3:17">
      <c r="C322" s="508">
        <f>IF(D268="","-",+C321+1)</f>
        <v>2062</v>
      </c>
      <c r="D322" s="471">
        <f t="shared" si="30"/>
        <v>0</v>
      </c>
      <c r="E322" s="515">
        <f t="shared" si="31"/>
        <v>0</v>
      </c>
      <c r="F322" s="515">
        <f t="shared" si="24"/>
        <v>0</v>
      </c>
      <c r="G322" s="471">
        <f t="shared" si="25"/>
        <v>0</v>
      </c>
      <c r="H322" s="509">
        <f>+J269*G322+E322</f>
        <v>0</v>
      </c>
      <c r="I322" s="516">
        <f>+J270*G322+E322</f>
        <v>0</v>
      </c>
      <c r="J322" s="512">
        <f t="shared" si="26"/>
        <v>0</v>
      </c>
      <c r="K322" s="512"/>
      <c r="L322" s="517"/>
      <c r="M322" s="512">
        <f t="shared" si="27"/>
        <v>0</v>
      </c>
      <c r="N322" s="517"/>
      <c r="O322" s="512">
        <f t="shared" si="28"/>
        <v>0</v>
      </c>
      <c r="P322" s="512">
        <f t="shared" si="29"/>
        <v>0</v>
      </c>
      <c r="Q322" s="473"/>
    </row>
    <row r="323" spans="3:17">
      <c r="C323" s="508">
        <f>IF(D268="","-",+C322+1)</f>
        <v>2063</v>
      </c>
      <c r="D323" s="471">
        <f t="shared" si="30"/>
        <v>0</v>
      </c>
      <c r="E323" s="515">
        <f t="shared" si="31"/>
        <v>0</v>
      </c>
      <c r="F323" s="515">
        <f t="shared" si="24"/>
        <v>0</v>
      </c>
      <c r="G323" s="471">
        <f t="shared" si="25"/>
        <v>0</v>
      </c>
      <c r="H323" s="509">
        <f>+J269*G323+E323</f>
        <v>0</v>
      </c>
      <c r="I323" s="516">
        <f>+J270*G323+E323</f>
        <v>0</v>
      </c>
      <c r="J323" s="512">
        <f t="shared" si="26"/>
        <v>0</v>
      </c>
      <c r="K323" s="512"/>
      <c r="L323" s="517"/>
      <c r="M323" s="512">
        <f t="shared" si="27"/>
        <v>0</v>
      </c>
      <c r="N323" s="517"/>
      <c r="O323" s="512">
        <f t="shared" si="28"/>
        <v>0</v>
      </c>
      <c r="P323" s="512">
        <f t="shared" si="29"/>
        <v>0</v>
      </c>
      <c r="Q323" s="473"/>
    </row>
    <row r="324" spans="3:17">
      <c r="C324" s="508">
        <f>IF(D268="","-",+C323+1)</f>
        <v>2064</v>
      </c>
      <c r="D324" s="471">
        <f t="shared" si="30"/>
        <v>0</v>
      </c>
      <c r="E324" s="515">
        <f t="shared" si="31"/>
        <v>0</v>
      </c>
      <c r="F324" s="515">
        <f t="shared" si="24"/>
        <v>0</v>
      </c>
      <c r="G324" s="471">
        <f t="shared" si="25"/>
        <v>0</v>
      </c>
      <c r="H324" s="509">
        <f>+J269*G324+E324</f>
        <v>0</v>
      </c>
      <c r="I324" s="516">
        <f>+J270*G324+E324</f>
        <v>0</v>
      </c>
      <c r="J324" s="512">
        <f t="shared" si="26"/>
        <v>0</v>
      </c>
      <c r="K324" s="512"/>
      <c r="L324" s="517"/>
      <c r="M324" s="512">
        <f t="shared" si="27"/>
        <v>0</v>
      </c>
      <c r="N324" s="517"/>
      <c r="O324" s="512">
        <f t="shared" si="28"/>
        <v>0</v>
      </c>
      <c r="P324" s="512">
        <f t="shared" si="29"/>
        <v>0</v>
      </c>
      <c r="Q324" s="473"/>
    </row>
    <row r="325" spans="3:17">
      <c r="C325" s="508">
        <f>IF(D268="","-",+C324+1)</f>
        <v>2065</v>
      </c>
      <c r="D325" s="471">
        <f t="shared" si="30"/>
        <v>0</v>
      </c>
      <c r="E325" s="515">
        <f t="shared" si="31"/>
        <v>0</v>
      </c>
      <c r="F325" s="515">
        <f t="shared" si="24"/>
        <v>0</v>
      </c>
      <c r="G325" s="471">
        <f t="shared" si="25"/>
        <v>0</v>
      </c>
      <c r="H325" s="509">
        <f>+J269*G325+E325</f>
        <v>0</v>
      </c>
      <c r="I325" s="516">
        <f>+J270*G325+E325</f>
        <v>0</v>
      </c>
      <c r="J325" s="512">
        <f t="shared" si="26"/>
        <v>0</v>
      </c>
      <c r="K325" s="512"/>
      <c r="L325" s="517"/>
      <c r="M325" s="512">
        <f t="shared" si="27"/>
        <v>0</v>
      </c>
      <c r="N325" s="517"/>
      <c r="O325" s="512">
        <f t="shared" si="28"/>
        <v>0</v>
      </c>
      <c r="P325" s="512">
        <f t="shared" si="29"/>
        <v>0</v>
      </c>
      <c r="Q325" s="473"/>
    </row>
    <row r="326" spans="3:17">
      <c r="C326" s="508">
        <f>IF(D268="","-",+C325+1)</f>
        <v>2066</v>
      </c>
      <c r="D326" s="471">
        <f t="shared" si="30"/>
        <v>0</v>
      </c>
      <c r="E326" s="515">
        <f t="shared" si="31"/>
        <v>0</v>
      </c>
      <c r="F326" s="515">
        <f t="shared" si="24"/>
        <v>0</v>
      </c>
      <c r="G326" s="471">
        <f t="shared" si="25"/>
        <v>0</v>
      </c>
      <c r="H326" s="509">
        <f>+J269*G326+E326</f>
        <v>0</v>
      </c>
      <c r="I326" s="516">
        <f>+J270*G326+E326</f>
        <v>0</v>
      </c>
      <c r="J326" s="512">
        <f t="shared" si="26"/>
        <v>0</v>
      </c>
      <c r="K326" s="512"/>
      <c r="L326" s="517"/>
      <c r="M326" s="512">
        <f t="shared" si="27"/>
        <v>0</v>
      </c>
      <c r="N326" s="517"/>
      <c r="O326" s="512">
        <f t="shared" si="28"/>
        <v>0</v>
      </c>
      <c r="P326" s="512">
        <f t="shared" si="29"/>
        <v>0</v>
      </c>
      <c r="Q326" s="473"/>
    </row>
    <row r="327" spans="3:17">
      <c r="C327" s="508">
        <f>IF(D268="","-",+C326+1)</f>
        <v>2067</v>
      </c>
      <c r="D327" s="471">
        <f t="shared" si="30"/>
        <v>0</v>
      </c>
      <c r="E327" s="515">
        <f t="shared" si="31"/>
        <v>0</v>
      </c>
      <c r="F327" s="515">
        <f t="shared" si="24"/>
        <v>0</v>
      </c>
      <c r="G327" s="471">
        <f t="shared" si="25"/>
        <v>0</v>
      </c>
      <c r="H327" s="509">
        <f>+J269*G327+E327</f>
        <v>0</v>
      </c>
      <c r="I327" s="516">
        <f>+J270*G327+E327</f>
        <v>0</v>
      </c>
      <c r="J327" s="512">
        <f t="shared" si="26"/>
        <v>0</v>
      </c>
      <c r="K327" s="512"/>
      <c r="L327" s="517"/>
      <c r="M327" s="512">
        <f t="shared" si="27"/>
        <v>0</v>
      </c>
      <c r="N327" s="517"/>
      <c r="O327" s="512">
        <f t="shared" si="28"/>
        <v>0</v>
      </c>
      <c r="P327" s="512">
        <f t="shared" si="29"/>
        <v>0</v>
      </c>
      <c r="Q327" s="473"/>
    </row>
    <row r="328" spans="3:17">
      <c r="C328" s="508">
        <f>IF(D268="","-",+C327+1)</f>
        <v>2068</v>
      </c>
      <c r="D328" s="471">
        <f t="shared" si="30"/>
        <v>0</v>
      </c>
      <c r="E328" s="515">
        <f t="shared" si="31"/>
        <v>0</v>
      </c>
      <c r="F328" s="515">
        <f t="shared" si="24"/>
        <v>0</v>
      </c>
      <c r="G328" s="471">
        <f t="shared" si="25"/>
        <v>0</v>
      </c>
      <c r="H328" s="509">
        <f>+J269*G328+E328</f>
        <v>0</v>
      </c>
      <c r="I328" s="516">
        <f>+J270*G328+E328</f>
        <v>0</v>
      </c>
      <c r="J328" s="512">
        <f t="shared" si="26"/>
        <v>0</v>
      </c>
      <c r="K328" s="512"/>
      <c r="L328" s="517"/>
      <c r="M328" s="512">
        <f t="shared" si="27"/>
        <v>0</v>
      </c>
      <c r="N328" s="517"/>
      <c r="O328" s="512">
        <f t="shared" si="28"/>
        <v>0</v>
      </c>
      <c r="P328" s="512">
        <f t="shared" si="29"/>
        <v>0</v>
      </c>
      <c r="Q328" s="473"/>
    </row>
    <row r="329" spans="3:17">
      <c r="C329" s="508">
        <f>IF(D268="","-",+C328+1)</f>
        <v>2069</v>
      </c>
      <c r="D329" s="471">
        <f t="shared" si="30"/>
        <v>0</v>
      </c>
      <c r="E329" s="515">
        <f t="shared" si="31"/>
        <v>0</v>
      </c>
      <c r="F329" s="515">
        <f t="shared" si="24"/>
        <v>0</v>
      </c>
      <c r="G329" s="471">
        <f t="shared" si="25"/>
        <v>0</v>
      </c>
      <c r="H329" s="509">
        <f>+J269*G329+E329</f>
        <v>0</v>
      </c>
      <c r="I329" s="516">
        <f>+J270*G329+E329</f>
        <v>0</v>
      </c>
      <c r="J329" s="512">
        <f t="shared" si="26"/>
        <v>0</v>
      </c>
      <c r="K329" s="512"/>
      <c r="L329" s="517"/>
      <c r="M329" s="512">
        <f t="shared" si="27"/>
        <v>0</v>
      </c>
      <c r="N329" s="517"/>
      <c r="O329" s="512">
        <f t="shared" si="28"/>
        <v>0</v>
      </c>
      <c r="P329" s="512">
        <f t="shared" si="29"/>
        <v>0</v>
      </c>
      <c r="Q329" s="473"/>
    </row>
    <row r="330" spans="3:17">
      <c r="C330" s="508">
        <f>IF(D268="","-",+C329+1)</f>
        <v>2070</v>
      </c>
      <c r="D330" s="471">
        <f t="shared" si="30"/>
        <v>0</v>
      </c>
      <c r="E330" s="515">
        <f t="shared" si="31"/>
        <v>0</v>
      </c>
      <c r="F330" s="515">
        <f t="shared" si="24"/>
        <v>0</v>
      </c>
      <c r="G330" s="471">
        <f t="shared" si="25"/>
        <v>0</v>
      </c>
      <c r="H330" s="509">
        <f>+J269*G330+E330</f>
        <v>0</v>
      </c>
      <c r="I330" s="516">
        <f>+J270*G330+E330</f>
        <v>0</v>
      </c>
      <c r="J330" s="512">
        <f t="shared" si="26"/>
        <v>0</v>
      </c>
      <c r="K330" s="512"/>
      <c r="L330" s="517"/>
      <c r="M330" s="512">
        <f t="shared" si="27"/>
        <v>0</v>
      </c>
      <c r="N330" s="517"/>
      <c r="O330" s="512">
        <f t="shared" si="28"/>
        <v>0</v>
      </c>
      <c r="P330" s="512">
        <f t="shared" si="29"/>
        <v>0</v>
      </c>
      <c r="Q330" s="473"/>
    </row>
    <row r="331" spans="3:17">
      <c r="C331" s="508">
        <f>IF(D268="","-",+C330+1)</f>
        <v>2071</v>
      </c>
      <c r="D331" s="471">
        <f t="shared" si="30"/>
        <v>0</v>
      </c>
      <c r="E331" s="515">
        <f t="shared" si="31"/>
        <v>0</v>
      </c>
      <c r="F331" s="515">
        <f t="shared" si="24"/>
        <v>0</v>
      </c>
      <c r="G331" s="471">
        <f t="shared" si="25"/>
        <v>0</v>
      </c>
      <c r="H331" s="509">
        <f>+J269*G331+E331</f>
        <v>0</v>
      </c>
      <c r="I331" s="516">
        <f>+J270*G331+E331</f>
        <v>0</v>
      </c>
      <c r="J331" s="512">
        <f t="shared" si="26"/>
        <v>0</v>
      </c>
      <c r="K331" s="512"/>
      <c r="L331" s="517"/>
      <c r="M331" s="512">
        <f t="shared" si="27"/>
        <v>0</v>
      </c>
      <c r="N331" s="517"/>
      <c r="O331" s="512">
        <f t="shared" si="28"/>
        <v>0</v>
      </c>
      <c r="P331" s="512">
        <f t="shared" si="29"/>
        <v>0</v>
      </c>
      <c r="Q331" s="473"/>
    </row>
    <row r="332" spans="3:17">
      <c r="C332" s="508">
        <f>IF(D268="","-",+C331+1)</f>
        <v>2072</v>
      </c>
      <c r="D332" s="471">
        <f t="shared" si="30"/>
        <v>0</v>
      </c>
      <c r="E332" s="515">
        <f t="shared" si="31"/>
        <v>0</v>
      </c>
      <c r="F332" s="515">
        <f t="shared" si="24"/>
        <v>0</v>
      </c>
      <c r="G332" s="471">
        <f t="shared" si="25"/>
        <v>0</v>
      </c>
      <c r="H332" s="509">
        <f>+J269*G332+E332</f>
        <v>0</v>
      </c>
      <c r="I332" s="516">
        <f>+J270*G332+E332</f>
        <v>0</v>
      </c>
      <c r="J332" s="512">
        <f t="shared" si="26"/>
        <v>0</v>
      </c>
      <c r="K332" s="512"/>
      <c r="L332" s="517"/>
      <c r="M332" s="512">
        <f t="shared" si="27"/>
        <v>0</v>
      </c>
      <c r="N332" s="517"/>
      <c r="O332" s="512">
        <f t="shared" si="28"/>
        <v>0</v>
      </c>
      <c r="P332" s="512">
        <f t="shared" si="29"/>
        <v>0</v>
      </c>
      <c r="Q332" s="473"/>
    </row>
    <row r="333" spans="3:17" ht="13.5" thickBot="1">
      <c r="C333" s="520">
        <f>IF(D268="","-",+C332+1)</f>
        <v>2073</v>
      </c>
      <c r="D333" s="521">
        <f t="shared" si="30"/>
        <v>0</v>
      </c>
      <c r="E333" s="522">
        <f t="shared" si="31"/>
        <v>0</v>
      </c>
      <c r="F333" s="522">
        <f t="shared" si="24"/>
        <v>0</v>
      </c>
      <c r="G333" s="521">
        <f t="shared" si="25"/>
        <v>0</v>
      </c>
      <c r="H333" s="523">
        <f>+J269*G333+E333</f>
        <v>0</v>
      </c>
      <c r="I333" s="523">
        <f>+J270*G333+E333</f>
        <v>0</v>
      </c>
      <c r="J333" s="524">
        <f t="shared" si="26"/>
        <v>0</v>
      </c>
      <c r="K333" s="512"/>
      <c r="L333" s="525"/>
      <c r="M333" s="524">
        <f t="shared" si="27"/>
        <v>0</v>
      </c>
      <c r="N333" s="525"/>
      <c r="O333" s="524">
        <f t="shared" si="28"/>
        <v>0</v>
      </c>
      <c r="P333" s="524">
        <f t="shared" si="29"/>
        <v>0</v>
      </c>
      <c r="Q333" s="473"/>
    </row>
    <row r="334" spans="3:17">
      <c r="C334" s="471" t="s">
        <v>288</v>
      </c>
      <c r="D334" s="469"/>
      <c r="E334" s="469">
        <f>SUM(E274:E333)</f>
        <v>28572967.259999994</v>
      </c>
      <c r="F334" s="469"/>
      <c r="G334" s="469"/>
      <c r="H334" s="469">
        <f>SUM(H274:H333)</f>
        <v>97045358.285975486</v>
      </c>
      <c r="I334" s="469">
        <f>SUM(I274:I333)</f>
        <v>97045358.285975486</v>
      </c>
      <c r="J334" s="469">
        <f>SUM(J274:J333)</f>
        <v>0</v>
      </c>
      <c r="K334" s="469"/>
      <c r="L334" s="469"/>
      <c r="M334" s="469"/>
      <c r="N334" s="469"/>
      <c r="O334" s="469"/>
      <c r="Q334" s="469"/>
    </row>
    <row r="335" spans="3:17">
      <c r="D335" s="78"/>
      <c r="E335" s="4"/>
      <c r="F335" s="4"/>
      <c r="G335" s="4"/>
      <c r="H335" s="4"/>
      <c r="I335" s="454"/>
      <c r="J335" s="454"/>
      <c r="K335" s="469"/>
      <c r="L335" s="454"/>
      <c r="M335" s="454"/>
      <c r="N335" s="454"/>
      <c r="O335" s="454"/>
      <c r="Q335" s="469"/>
    </row>
    <row r="336" spans="3:17">
      <c r="C336" s="4" t="s">
        <v>600</v>
      </c>
      <c r="D336" s="78"/>
      <c r="E336" s="4"/>
      <c r="F336" s="4"/>
      <c r="G336" s="4"/>
      <c r="H336" s="4"/>
      <c r="I336" s="454"/>
      <c r="J336" s="454"/>
      <c r="K336" s="469"/>
      <c r="L336" s="454"/>
      <c r="M336" s="454"/>
      <c r="N336" s="454"/>
      <c r="O336" s="454"/>
      <c r="Q336" s="469"/>
    </row>
    <row r="337" spans="1:17">
      <c r="D337" s="78"/>
      <c r="E337" s="4"/>
      <c r="F337" s="4"/>
      <c r="G337" s="4"/>
      <c r="H337" s="4"/>
      <c r="I337" s="454"/>
      <c r="J337" s="454"/>
      <c r="K337" s="469"/>
      <c r="L337" s="454"/>
      <c r="M337" s="454"/>
      <c r="N337" s="454"/>
      <c r="O337" s="454"/>
      <c r="Q337" s="469"/>
    </row>
    <row r="338" spans="1:17">
      <c r="C338" s="4" t="s">
        <v>601</v>
      </c>
      <c r="D338" s="471"/>
      <c r="E338" s="471"/>
      <c r="F338" s="471"/>
      <c r="G338" s="471"/>
      <c r="H338" s="469"/>
      <c r="I338" s="469"/>
      <c r="J338" s="473"/>
      <c r="K338" s="473"/>
      <c r="L338" s="473"/>
      <c r="M338" s="473"/>
      <c r="N338" s="473"/>
      <c r="O338" s="473"/>
      <c r="Q338" s="473"/>
    </row>
    <row r="339" spans="1:17">
      <c r="C339" s="4" t="s">
        <v>476</v>
      </c>
      <c r="D339" s="471"/>
      <c r="E339" s="471"/>
      <c r="F339" s="471"/>
      <c r="G339" s="471"/>
      <c r="H339" s="469"/>
      <c r="I339" s="469"/>
      <c r="J339" s="473"/>
      <c r="K339" s="473"/>
      <c r="L339" s="473"/>
      <c r="M339" s="473"/>
      <c r="N339" s="473"/>
      <c r="O339" s="473"/>
      <c r="Q339" s="473"/>
    </row>
    <row r="340" spans="1:17">
      <c r="C340" s="4" t="s">
        <v>289</v>
      </c>
      <c r="D340" s="471"/>
      <c r="E340" s="471"/>
      <c r="F340" s="471"/>
      <c r="G340" s="471"/>
      <c r="H340" s="469"/>
      <c r="I340" s="469"/>
      <c r="J340" s="473"/>
      <c r="K340" s="473"/>
      <c r="L340" s="473"/>
      <c r="M340" s="473"/>
      <c r="N340" s="473"/>
      <c r="O340" s="473"/>
      <c r="Q340" s="473"/>
    </row>
    <row r="341" spans="1:17" ht="20.25">
      <c r="A341" s="413" t="s">
        <v>767</v>
      </c>
      <c r="B341" s="4"/>
      <c r="C341" s="4"/>
      <c r="D341" s="78"/>
      <c r="E341" s="4"/>
      <c r="F341" s="80"/>
      <c r="G341" s="80"/>
      <c r="H341" s="4"/>
      <c r="I341" s="454"/>
      <c r="L341" s="11"/>
      <c r="M341" s="11"/>
      <c r="N341" s="11"/>
      <c r="O341" s="11" t="str">
        <f>"Page "&amp;SUM(Q$3:Q341)&amp;" of "</f>
        <v xml:space="preserve">Page 5 of </v>
      </c>
      <c r="P341" s="414">
        <f>COUNT(Q$8:Q$58123)</f>
        <v>16</v>
      </c>
      <c r="Q341" s="544">
        <v>1</v>
      </c>
    </row>
    <row r="342" spans="1:17">
      <c r="B342" s="4"/>
      <c r="C342" s="4"/>
      <c r="D342" s="78"/>
      <c r="E342" s="4"/>
      <c r="F342" s="4"/>
      <c r="G342" s="4"/>
      <c r="H342" s="4"/>
      <c r="I342" s="454"/>
      <c r="J342" s="4"/>
      <c r="K342" s="4"/>
    </row>
    <row r="343" spans="1:17" ht="18">
      <c r="B343" s="415" t="s">
        <v>174</v>
      </c>
      <c r="C343" s="474" t="s">
        <v>290</v>
      </c>
      <c r="D343" s="78"/>
      <c r="E343" s="4"/>
      <c r="F343" s="4"/>
      <c r="G343" s="4"/>
      <c r="H343" s="4"/>
      <c r="I343" s="454"/>
      <c r="J343" s="454"/>
      <c r="K343" s="469"/>
      <c r="L343" s="454"/>
      <c r="M343" s="454"/>
      <c r="N343" s="454"/>
      <c r="O343" s="454"/>
      <c r="Q343" s="469"/>
    </row>
    <row r="344" spans="1:17" ht="18.75">
      <c r="B344" s="415"/>
      <c r="C344" s="13"/>
      <c r="D344" s="78"/>
      <c r="E344" s="4"/>
      <c r="F344" s="4"/>
      <c r="G344" s="4"/>
      <c r="H344" s="4"/>
      <c r="I344" s="454"/>
      <c r="J344" s="454"/>
      <c r="K344" s="469"/>
      <c r="L344" s="454"/>
      <c r="M344" s="454"/>
      <c r="N344" s="454"/>
      <c r="O344" s="454"/>
      <c r="Q344" s="469"/>
    </row>
    <row r="345" spans="1:17" ht="18.75">
      <c r="B345" s="415"/>
      <c r="C345" s="13" t="s">
        <v>291</v>
      </c>
      <c r="D345" s="78"/>
      <c r="E345" s="4"/>
      <c r="F345" s="4"/>
      <c r="G345" s="4"/>
      <c r="H345" s="4"/>
      <c r="I345" s="454"/>
      <c r="J345" s="454"/>
      <c r="K345" s="469"/>
      <c r="L345" s="454"/>
      <c r="M345" s="454"/>
      <c r="N345" s="454"/>
      <c r="O345" s="454"/>
      <c r="Q345" s="469"/>
    </row>
    <row r="346" spans="1:17" ht="15.75" thickBot="1">
      <c r="C346" s="250"/>
      <c r="D346" s="78"/>
      <c r="E346" s="4"/>
      <c r="F346" s="4"/>
      <c r="G346" s="4"/>
      <c r="H346" s="4"/>
      <c r="I346" s="454"/>
      <c r="J346" s="454"/>
      <c r="K346" s="469"/>
      <c r="L346" s="454"/>
      <c r="M346" s="454"/>
      <c r="N346" s="454"/>
      <c r="O346" s="454"/>
      <c r="Q346" s="469"/>
    </row>
    <row r="347" spans="1:17" ht="15.75">
      <c r="C347" s="416" t="s">
        <v>292</v>
      </c>
      <c r="D347" s="78"/>
      <c r="E347" s="4"/>
      <c r="F347" s="4"/>
      <c r="G347" s="4"/>
      <c r="H347" s="642"/>
      <c r="I347" s="4" t="s">
        <v>271</v>
      </c>
      <c r="J347" s="4"/>
      <c r="K347" s="4"/>
      <c r="L347" s="545">
        <f>+J353</f>
        <v>2025</v>
      </c>
      <c r="M347" s="529" t="s">
        <v>254</v>
      </c>
      <c r="N347" s="529" t="s">
        <v>255</v>
      </c>
      <c r="O347" s="530" t="s">
        <v>256</v>
      </c>
    </row>
    <row r="348" spans="1:17" ht="15.75">
      <c r="C348" s="416"/>
      <c r="D348" s="78"/>
      <c r="E348" s="4"/>
      <c r="F348" s="4"/>
      <c r="H348" s="4"/>
      <c r="I348" s="478"/>
      <c r="J348" s="478"/>
      <c r="K348" s="479"/>
      <c r="L348" s="546" t="s">
        <v>455</v>
      </c>
      <c r="M348" s="547">
        <f>VLOOKUP(J353,C360:P419,10)</f>
        <v>257931.18908387123</v>
      </c>
      <c r="N348" s="547">
        <f>VLOOKUP(J353,C360:P419,12)</f>
        <v>257931.18908387123</v>
      </c>
      <c r="O348" s="548">
        <f>+N348-M348</f>
        <v>0</v>
      </c>
      <c r="Q348" s="479"/>
    </row>
    <row r="349" spans="1:17">
      <c r="C349" s="481" t="s">
        <v>293</v>
      </c>
      <c r="D349" s="1304" t="s">
        <v>932</v>
      </c>
      <c r="E349" s="1304"/>
      <c r="F349" s="1304"/>
      <c r="G349" s="1304"/>
      <c r="H349" s="653"/>
      <c r="I349" s="454"/>
      <c r="J349" s="454"/>
      <c r="K349" s="469"/>
      <c r="L349" s="546" t="s">
        <v>456</v>
      </c>
      <c r="M349" s="549">
        <f>VLOOKUP(J353,C360:P419,6)</f>
        <v>257585.30013109712</v>
      </c>
      <c r="N349" s="549">
        <f>VLOOKUP(J353,C360:P419,7)</f>
        <v>257585.30013109712</v>
      </c>
      <c r="O349" s="550">
        <f>+N349-M349</f>
        <v>0</v>
      </c>
      <c r="Q349" s="469"/>
    </row>
    <row r="350" spans="1:17" ht="13.5" thickBot="1">
      <c r="C350" s="483"/>
      <c r="D350" s="484"/>
      <c r="E350" s="471"/>
      <c r="F350" s="471"/>
      <c r="G350" s="471"/>
      <c r="H350" s="485"/>
      <c r="I350" s="454"/>
      <c r="J350" s="454"/>
      <c r="K350" s="469"/>
      <c r="L350" s="495" t="s">
        <v>457</v>
      </c>
      <c r="M350" s="551">
        <f>+M349-M348</f>
        <v>-345.88895277411211</v>
      </c>
      <c r="N350" s="551">
        <f>+N349-N348</f>
        <v>-345.88895277411211</v>
      </c>
      <c r="O350" s="552">
        <f>+O349-O348</f>
        <v>0</v>
      </c>
      <c r="Q350" s="469"/>
    </row>
    <row r="351" spans="1:17" ht="13.5" thickBot="1">
      <c r="C351" s="483"/>
      <c r="D351" s="4"/>
      <c r="E351" s="485"/>
      <c r="F351" s="485"/>
      <c r="G351" s="485"/>
      <c r="H351" s="485"/>
      <c r="I351" s="485"/>
      <c r="J351" s="485"/>
      <c r="K351" s="485"/>
      <c r="L351" s="485"/>
      <c r="M351" s="485"/>
      <c r="N351" s="485"/>
      <c r="O351" s="485"/>
      <c r="Q351" s="485"/>
    </row>
    <row r="352" spans="1:17" ht="13.5" thickBot="1">
      <c r="C352" s="487" t="s">
        <v>294</v>
      </c>
      <c r="D352" s="488"/>
      <c r="E352" s="488"/>
      <c r="F352" s="488"/>
      <c r="G352" s="488"/>
      <c r="H352" s="488"/>
      <c r="I352" s="488"/>
      <c r="J352" s="488"/>
      <c r="Q352"/>
    </row>
    <row r="353" spans="1:17" ht="15">
      <c r="A353" s="486"/>
      <c r="C353" s="490" t="s">
        <v>272</v>
      </c>
      <c r="D353" s="941">
        <v>2419909.98</v>
      </c>
      <c r="E353" s="4" t="s">
        <v>273</v>
      </c>
      <c r="H353" s="78"/>
      <c r="I353" s="78"/>
      <c r="J353" s="491">
        <f>$J$95</f>
        <v>2025</v>
      </c>
      <c r="K353" s="134"/>
      <c r="L353" s="1305" t="s">
        <v>274</v>
      </c>
      <c r="M353" s="1305"/>
      <c r="N353" s="1305"/>
      <c r="O353" s="1305"/>
      <c r="Q353" s="134"/>
    </row>
    <row r="354" spans="1:17">
      <c r="A354" s="486"/>
      <c r="C354" s="490" t="s">
        <v>275</v>
      </c>
      <c r="D354" s="644">
        <v>2014</v>
      </c>
      <c r="E354" s="490" t="s">
        <v>276</v>
      </c>
      <c r="F354" s="78"/>
      <c r="G354" s="78"/>
      <c r="I354"/>
      <c r="J354" s="647">
        <v>0</v>
      </c>
      <c r="K354" s="492"/>
      <c r="L354" s="469" t="s">
        <v>475</v>
      </c>
      <c r="Q354" s="492"/>
    </row>
    <row r="355" spans="1:17">
      <c r="A355" s="486"/>
      <c r="C355" s="490" t="s">
        <v>277</v>
      </c>
      <c r="D355" s="942">
        <v>12</v>
      </c>
      <c r="E355" s="490" t="s">
        <v>278</v>
      </c>
      <c r="F355" s="78"/>
      <c r="G355" s="78"/>
      <c r="I355"/>
      <c r="J355" s="493">
        <f>$F$70</f>
        <v>0.11017952320434825</v>
      </c>
      <c r="K355" s="80"/>
      <c r="L355" s="4" t="str">
        <f>"          INPUT TRUE-UP ARR (WITH &amp; WITHOUT INCENTIVES) FROM EACH PRIOR YEAR"</f>
        <v xml:space="preserve">          INPUT TRUE-UP ARR (WITH &amp; WITHOUT INCENTIVES) FROM EACH PRIOR YEAR</v>
      </c>
      <c r="Q355" s="80"/>
    </row>
    <row r="356" spans="1:17">
      <c r="A356" s="486"/>
      <c r="C356" s="490" t="s">
        <v>279</v>
      </c>
      <c r="D356" s="494">
        <f>H79</f>
        <v>42</v>
      </c>
      <c r="E356" s="490" t="s">
        <v>280</v>
      </c>
      <c r="F356" s="78"/>
      <c r="G356" s="78"/>
      <c r="I356"/>
      <c r="J356" s="493">
        <f>IF(H347="",J355,$F$69)</f>
        <v>0.11017952320434825</v>
      </c>
      <c r="K356" s="80"/>
      <c r="L356" s="4" t="s">
        <v>362</v>
      </c>
      <c r="M356" s="80"/>
      <c r="N356" s="80"/>
      <c r="O356" s="80"/>
      <c r="Q356" s="80"/>
    </row>
    <row r="357" spans="1:17" ht="13.5" thickBot="1">
      <c r="A357" s="486"/>
      <c r="C357" s="490" t="s">
        <v>281</v>
      </c>
      <c r="D357" s="646" t="s">
        <v>929</v>
      </c>
      <c r="E357" s="495" t="s">
        <v>282</v>
      </c>
      <c r="F357" s="496"/>
      <c r="G357" s="496"/>
      <c r="H357" s="497"/>
      <c r="I357" s="497"/>
      <c r="J357" s="482">
        <f>IF(D353=0,0,D353/D356)</f>
        <v>57616.904285714285</v>
      </c>
      <c r="K357" s="469"/>
      <c r="L357" s="469" t="s">
        <v>363</v>
      </c>
      <c r="M357" s="469"/>
      <c r="N357" s="469"/>
      <c r="O357" s="469"/>
      <c r="Q357" s="469"/>
    </row>
    <row r="358" spans="1:17" ht="38.25">
      <c r="A358" s="12"/>
      <c r="B358" s="12"/>
      <c r="C358" s="498" t="s">
        <v>272</v>
      </c>
      <c r="D358" s="499" t="s">
        <v>283</v>
      </c>
      <c r="E358" s="500" t="s">
        <v>284</v>
      </c>
      <c r="F358" s="499" t="s">
        <v>285</v>
      </c>
      <c r="G358" s="499" t="s">
        <v>458</v>
      </c>
      <c r="H358" s="500" t="s">
        <v>356</v>
      </c>
      <c r="I358" s="501" t="s">
        <v>356</v>
      </c>
      <c r="J358" s="498" t="s">
        <v>295</v>
      </c>
      <c r="K358" s="502"/>
      <c r="L358" s="500" t="s">
        <v>358</v>
      </c>
      <c r="M358" s="500" t="s">
        <v>364</v>
      </c>
      <c r="N358" s="500" t="s">
        <v>358</v>
      </c>
      <c r="O358" s="500" t="s">
        <v>366</v>
      </c>
      <c r="P358" s="500" t="s">
        <v>286</v>
      </c>
      <c r="Q358" s="127"/>
    </row>
    <row r="359" spans="1:17" ht="13.5" thickBot="1">
      <c r="C359" s="503" t="s">
        <v>177</v>
      </c>
      <c r="D359" s="504" t="s">
        <v>178</v>
      </c>
      <c r="E359" s="503" t="s">
        <v>37</v>
      </c>
      <c r="F359" s="504" t="s">
        <v>178</v>
      </c>
      <c r="G359" s="504" t="s">
        <v>178</v>
      </c>
      <c r="H359" s="505" t="s">
        <v>298</v>
      </c>
      <c r="I359" s="506" t="s">
        <v>300</v>
      </c>
      <c r="J359" s="503" t="s">
        <v>389</v>
      </c>
      <c r="K359" s="507"/>
      <c r="L359" s="505" t="s">
        <v>287</v>
      </c>
      <c r="M359" s="505" t="s">
        <v>287</v>
      </c>
      <c r="N359" s="505" t="s">
        <v>467</v>
      </c>
      <c r="O359" s="505" t="s">
        <v>467</v>
      </c>
      <c r="P359" s="505" t="s">
        <v>467</v>
      </c>
      <c r="Q359" s="134"/>
    </row>
    <row r="360" spans="1:17">
      <c r="C360" s="508">
        <f>IF(D354= "","-",D354)</f>
        <v>2014</v>
      </c>
      <c r="D360" s="471">
        <f>+D353</f>
        <v>2419909.98</v>
      </c>
      <c r="E360" s="509">
        <f>+J357/12*(12-D355)</f>
        <v>0</v>
      </c>
      <c r="F360" s="553">
        <f t="shared" ref="F360:F419" si="32">+D360-E360</f>
        <v>2419909.98</v>
      </c>
      <c r="G360" s="471">
        <f t="shared" ref="G360:G419" si="33">+(D360+F360)/2</f>
        <v>2419909.98</v>
      </c>
      <c r="H360" s="510">
        <f>+J355*G360+E360</f>
        <v>266624.52779384388</v>
      </c>
      <c r="I360" s="511">
        <f>+J356*G360+E360</f>
        <v>266624.52779384388</v>
      </c>
      <c r="J360" s="512">
        <f t="shared" ref="J360:J419" si="34">+I360-H360</f>
        <v>0</v>
      </c>
      <c r="K360" s="512"/>
      <c r="L360" s="513">
        <v>222712</v>
      </c>
      <c r="M360" s="554">
        <f t="shared" ref="M360:M419" si="35">IF(L360&lt;&gt;0,+H360-L360,0)</f>
        <v>43912.527793843881</v>
      </c>
      <c r="N360" s="513">
        <v>222712</v>
      </c>
      <c r="O360" s="554">
        <f t="shared" ref="O360:O419" si="36">IF(N360&lt;&gt;0,+I360-N360,0)</f>
        <v>43912.527793843881</v>
      </c>
      <c r="P360" s="554">
        <f t="shared" ref="P360:P419" si="37">+O360-M360</f>
        <v>0</v>
      </c>
      <c r="Q360" s="473"/>
    </row>
    <row r="361" spans="1:17">
      <c r="C361" s="508">
        <f>IF(D354="","-",+C360+1)</f>
        <v>2015</v>
      </c>
      <c r="D361" s="471">
        <f t="shared" ref="D361:D419" si="38">F360</f>
        <v>2419909.98</v>
      </c>
      <c r="E361" s="515">
        <f>IF(D361&gt;$J$357,$J$357,D361)</f>
        <v>57616.904285714285</v>
      </c>
      <c r="F361" s="515">
        <f t="shared" si="32"/>
        <v>2362293.0757142855</v>
      </c>
      <c r="G361" s="471">
        <f t="shared" si="33"/>
        <v>2391101.5278571425</v>
      </c>
      <c r="H361" s="509">
        <f>+J355*G361+E361</f>
        <v>321067.33055820287</v>
      </c>
      <c r="I361" s="516">
        <f>+J356*G361+E361</f>
        <v>321067.33055820287</v>
      </c>
      <c r="J361" s="512">
        <f t="shared" si="34"/>
        <v>0</v>
      </c>
      <c r="K361" s="512"/>
      <c r="L361" s="517">
        <v>317491</v>
      </c>
      <c r="M361" s="512">
        <f t="shared" si="35"/>
        <v>3576.3305582028697</v>
      </c>
      <c r="N361" s="517">
        <v>317491</v>
      </c>
      <c r="O361" s="512">
        <f t="shared" si="36"/>
        <v>3576.3305582028697</v>
      </c>
      <c r="P361" s="512">
        <f t="shared" si="37"/>
        <v>0</v>
      </c>
      <c r="Q361" s="473"/>
    </row>
    <row r="362" spans="1:17">
      <c r="C362" s="508">
        <f>IF(D354="","-",+C361+1)</f>
        <v>2016</v>
      </c>
      <c r="D362" s="471">
        <f t="shared" si="38"/>
        <v>2362293.0757142855</v>
      </c>
      <c r="E362" s="515">
        <f t="shared" ref="E362:E419" si="39">IF(D362&gt;$J$357,$J$357,D362)</f>
        <v>57616.904285714285</v>
      </c>
      <c r="F362" s="515">
        <f t="shared" si="32"/>
        <v>2304676.171428571</v>
      </c>
      <c r="G362" s="471">
        <f t="shared" si="33"/>
        <v>2333484.6235714285</v>
      </c>
      <c r="H362" s="509">
        <f>+J355*G362+E362</f>
        <v>314719.12751549232</v>
      </c>
      <c r="I362" s="516">
        <f>+J356*G362+E362</f>
        <v>314719.12751549232</v>
      </c>
      <c r="J362" s="512">
        <f t="shared" si="34"/>
        <v>0</v>
      </c>
      <c r="K362" s="512"/>
      <c r="L362" s="517">
        <v>303455</v>
      </c>
      <c r="M362" s="512">
        <f t="shared" si="35"/>
        <v>11264.127515492321</v>
      </c>
      <c r="N362" s="517">
        <v>303455</v>
      </c>
      <c r="O362" s="512">
        <f t="shared" si="36"/>
        <v>11264.127515492321</v>
      </c>
      <c r="P362" s="512">
        <f t="shared" si="37"/>
        <v>0</v>
      </c>
      <c r="Q362" s="473"/>
    </row>
    <row r="363" spans="1:17">
      <c r="C363" s="508">
        <f>IF(D354="","-",+C362+1)</f>
        <v>2017</v>
      </c>
      <c r="D363" s="471">
        <f t="shared" si="38"/>
        <v>2304676.171428571</v>
      </c>
      <c r="E363" s="515">
        <f t="shared" si="39"/>
        <v>57616.904285714285</v>
      </c>
      <c r="F363" s="515">
        <f t="shared" si="32"/>
        <v>2247059.2671428565</v>
      </c>
      <c r="G363" s="471">
        <f t="shared" si="33"/>
        <v>2275867.7192857135</v>
      </c>
      <c r="H363" s="509">
        <f>+J355*G363+E363</f>
        <v>308370.92447278165</v>
      </c>
      <c r="I363" s="516">
        <f>+J356*G363+E363</f>
        <v>308370.92447278165</v>
      </c>
      <c r="J363" s="512">
        <f t="shared" si="34"/>
        <v>0</v>
      </c>
      <c r="K363" s="512"/>
      <c r="L363" s="517">
        <v>308414</v>
      </c>
      <c r="M363" s="512">
        <f t="shared" si="35"/>
        <v>-43.075527218345087</v>
      </c>
      <c r="N363" s="517">
        <v>308414</v>
      </c>
      <c r="O363" s="512">
        <f t="shared" si="36"/>
        <v>-43.075527218345087</v>
      </c>
      <c r="P363" s="512">
        <f t="shared" si="37"/>
        <v>0</v>
      </c>
      <c r="Q363" s="473"/>
    </row>
    <row r="364" spans="1:17">
      <c r="C364" s="508">
        <f>IF(D354="","-",+C363+1)</f>
        <v>2018</v>
      </c>
      <c r="D364" s="471">
        <f t="shared" si="38"/>
        <v>2247059.2671428565</v>
      </c>
      <c r="E364" s="515">
        <f t="shared" si="39"/>
        <v>57616.904285714285</v>
      </c>
      <c r="F364" s="515">
        <f t="shared" si="32"/>
        <v>2189442.362857142</v>
      </c>
      <c r="G364" s="471">
        <f t="shared" si="33"/>
        <v>2218250.8149999995</v>
      </c>
      <c r="H364" s="509">
        <f>+J355*G364+E364</f>
        <v>302022.72143007111</v>
      </c>
      <c r="I364" s="516">
        <f>+J356*G364+E364</f>
        <v>302022.72143007111</v>
      </c>
      <c r="J364" s="512">
        <f t="shared" si="34"/>
        <v>0</v>
      </c>
      <c r="K364" s="512"/>
      <c r="L364" s="517">
        <v>292574</v>
      </c>
      <c r="M364" s="512">
        <f t="shared" si="35"/>
        <v>9448.7214300711057</v>
      </c>
      <c r="N364" s="517">
        <v>292574</v>
      </c>
      <c r="O364" s="512">
        <f t="shared" si="36"/>
        <v>9448.7214300711057</v>
      </c>
      <c r="P364" s="512">
        <f t="shared" si="37"/>
        <v>0</v>
      </c>
      <c r="Q364" s="473"/>
    </row>
    <row r="365" spans="1:17">
      <c r="C365" s="508">
        <f>IF(D354="","-",+C364+1)</f>
        <v>2019</v>
      </c>
      <c r="D365" s="471">
        <f t="shared" si="38"/>
        <v>2189442.362857142</v>
      </c>
      <c r="E365" s="515">
        <f t="shared" si="39"/>
        <v>57616.904285714285</v>
      </c>
      <c r="F365" s="515">
        <f t="shared" si="32"/>
        <v>2131825.4585714275</v>
      </c>
      <c r="G365" s="471">
        <f t="shared" si="33"/>
        <v>2160633.9107142845</v>
      </c>
      <c r="H365" s="509">
        <f>+J355*G365+E365</f>
        <v>295674.5183873605</v>
      </c>
      <c r="I365" s="516">
        <f>+J356*G365+E365</f>
        <v>295674.5183873605</v>
      </c>
      <c r="J365" s="512">
        <f t="shared" si="34"/>
        <v>0</v>
      </c>
      <c r="K365" s="512"/>
      <c r="L365" s="517">
        <v>285739</v>
      </c>
      <c r="M365" s="512">
        <f t="shared" si="35"/>
        <v>9935.5183873604983</v>
      </c>
      <c r="N365" s="517">
        <v>285739</v>
      </c>
      <c r="O365" s="512">
        <f t="shared" si="36"/>
        <v>9935.5183873604983</v>
      </c>
      <c r="P365" s="512">
        <f t="shared" si="37"/>
        <v>0</v>
      </c>
      <c r="Q365" s="473"/>
    </row>
    <row r="366" spans="1:17">
      <c r="C366" s="508">
        <f>IF(D354="","-",+C365+1)</f>
        <v>2020</v>
      </c>
      <c r="D366" s="471">
        <f t="shared" si="38"/>
        <v>2131825.4585714275</v>
      </c>
      <c r="E366" s="515">
        <f t="shared" si="39"/>
        <v>57616.904285714285</v>
      </c>
      <c r="F366" s="515">
        <f t="shared" si="32"/>
        <v>2074208.5542857132</v>
      </c>
      <c r="G366" s="471">
        <f t="shared" si="33"/>
        <v>2103017.0064285705</v>
      </c>
      <c r="H366" s="509">
        <f>+J355*G366+E366</f>
        <v>289326.31534464995</v>
      </c>
      <c r="I366" s="516">
        <f>+J356*G366+E366</f>
        <v>289326.31534464995</v>
      </c>
      <c r="J366" s="512">
        <f t="shared" si="34"/>
        <v>0</v>
      </c>
      <c r="K366" s="512"/>
      <c r="L366" s="517">
        <v>271872.09064445226</v>
      </c>
      <c r="M366" s="512">
        <f t="shared" si="35"/>
        <v>17454.224700197694</v>
      </c>
      <c r="N366" s="517">
        <v>271872.09064445226</v>
      </c>
      <c r="O366" s="512">
        <f t="shared" si="36"/>
        <v>17454.224700197694</v>
      </c>
      <c r="P366" s="512">
        <f t="shared" si="37"/>
        <v>0</v>
      </c>
      <c r="Q366" s="473"/>
    </row>
    <row r="367" spans="1:17">
      <c r="C367" s="508">
        <f>IF(D354="","-",+C366+1)</f>
        <v>2021</v>
      </c>
      <c r="D367" s="471">
        <f t="shared" si="38"/>
        <v>2074208.5542857132</v>
      </c>
      <c r="E367" s="515">
        <f t="shared" si="39"/>
        <v>57616.904285714285</v>
      </c>
      <c r="F367" s="515">
        <f t="shared" si="32"/>
        <v>2016591.649999999</v>
      </c>
      <c r="G367" s="471">
        <f t="shared" si="33"/>
        <v>2045400.102142856</v>
      </c>
      <c r="H367" s="509">
        <f>+J355*G367+E367</f>
        <v>282978.11230193934</v>
      </c>
      <c r="I367" s="516">
        <f>+J356*G367+E367</f>
        <v>282978.11230193934</v>
      </c>
      <c r="J367" s="512">
        <f t="shared" si="34"/>
        <v>0</v>
      </c>
      <c r="K367" s="512"/>
      <c r="L367" s="517">
        <v>267412.77468551655</v>
      </c>
      <c r="M367" s="512">
        <f t="shared" si="35"/>
        <v>15565.337616422796</v>
      </c>
      <c r="N367" s="517">
        <v>267412.77468551655</v>
      </c>
      <c r="O367" s="512">
        <f t="shared" si="36"/>
        <v>15565.337616422796</v>
      </c>
      <c r="P367" s="512">
        <f t="shared" si="37"/>
        <v>0</v>
      </c>
      <c r="Q367" s="473"/>
    </row>
    <row r="368" spans="1:17">
      <c r="C368" s="508">
        <f>IF(D354="","-",+C367+1)</f>
        <v>2022</v>
      </c>
      <c r="D368" s="471">
        <f t="shared" si="38"/>
        <v>2016591.649999999</v>
      </c>
      <c r="E368" s="515">
        <f t="shared" si="39"/>
        <v>57616.904285714285</v>
      </c>
      <c r="F368" s="515">
        <f t="shared" si="32"/>
        <v>1958974.7457142847</v>
      </c>
      <c r="G368" s="471">
        <f t="shared" si="33"/>
        <v>1987783.197857142</v>
      </c>
      <c r="H368" s="509">
        <f>+J355*G368+E368</f>
        <v>276629.90925922879</v>
      </c>
      <c r="I368" s="516">
        <f>+J356*G368+E368</f>
        <v>276629.90925922879</v>
      </c>
      <c r="J368" s="512">
        <f t="shared" si="34"/>
        <v>0</v>
      </c>
      <c r="K368" s="512"/>
      <c r="L368" s="517">
        <v>263899.51040602638</v>
      </c>
      <c r="M368" s="512">
        <f t="shared" si="35"/>
        <v>12730.398853202409</v>
      </c>
      <c r="N368" s="517">
        <v>263899.51040602638</v>
      </c>
      <c r="O368" s="512">
        <f t="shared" si="36"/>
        <v>12730.398853202409</v>
      </c>
      <c r="P368" s="512">
        <f t="shared" si="37"/>
        <v>0</v>
      </c>
      <c r="Q368" s="473"/>
    </row>
    <row r="369" spans="3:17">
      <c r="C369" s="508">
        <f>IF(D354="","-",+C368+1)</f>
        <v>2023</v>
      </c>
      <c r="D369" s="471">
        <f t="shared" si="38"/>
        <v>1958974.7457142847</v>
      </c>
      <c r="E369" s="515">
        <f t="shared" si="39"/>
        <v>57616.904285714285</v>
      </c>
      <c r="F369" s="515">
        <f t="shared" si="32"/>
        <v>1901357.8414285704</v>
      </c>
      <c r="G369" s="471">
        <f t="shared" si="33"/>
        <v>1930166.2935714275</v>
      </c>
      <c r="H369" s="509">
        <f>+J355*G369+E369</f>
        <v>270281.70621651824</v>
      </c>
      <c r="I369" s="516">
        <f>+J356*G369+E369</f>
        <v>270281.70621651824</v>
      </c>
      <c r="J369" s="512">
        <f t="shared" si="34"/>
        <v>0</v>
      </c>
      <c r="K369" s="512"/>
      <c r="L369" s="517">
        <v>271713.61431374738</v>
      </c>
      <c r="M369" s="512">
        <f t="shared" si="35"/>
        <v>-1431.9080972291413</v>
      </c>
      <c r="N369" s="517">
        <v>271713.61431374738</v>
      </c>
      <c r="O369" s="512">
        <f t="shared" si="36"/>
        <v>-1431.9080972291413</v>
      </c>
      <c r="P369" s="512">
        <f t="shared" si="37"/>
        <v>0</v>
      </c>
      <c r="Q369" s="473"/>
    </row>
    <row r="370" spans="3:17">
      <c r="C370" s="508">
        <f>IF(D354="","-",+C369+1)</f>
        <v>2024</v>
      </c>
      <c r="D370" s="471">
        <f t="shared" si="38"/>
        <v>1901357.8414285704</v>
      </c>
      <c r="E370" s="515">
        <f t="shared" si="39"/>
        <v>57616.904285714285</v>
      </c>
      <c r="F370" s="515">
        <f t="shared" si="32"/>
        <v>1843740.9371428562</v>
      </c>
      <c r="G370" s="471">
        <f t="shared" si="33"/>
        <v>1872549.3892857134</v>
      </c>
      <c r="H370" s="509">
        <f>+J355*G370+E370</f>
        <v>263933.50317380769</v>
      </c>
      <c r="I370" s="516">
        <f>+J356*G370+E370</f>
        <v>263933.50317380769</v>
      </c>
      <c r="J370" s="512">
        <f t="shared" si="34"/>
        <v>0</v>
      </c>
      <c r="K370" s="512"/>
      <c r="L370" s="517">
        <v>263535.65580935439</v>
      </c>
      <c r="M370" s="512">
        <f t="shared" si="35"/>
        <v>397.84736445330782</v>
      </c>
      <c r="N370" s="517">
        <v>263535.65580935439</v>
      </c>
      <c r="O370" s="512">
        <f t="shared" si="36"/>
        <v>397.84736445330782</v>
      </c>
      <c r="P370" s="512">
        <f t="shared" si="37"/>
        <v>0</v>
      </c>
      <c r="Q370" s="473"/>
    </row>
    <row r="371" spans="3:17">
      <c r="C371" s="508">
        <f>IF(D354="","-",+C370+1)</f>
        <v>2025</v>
      </c>
      <c r="D371" s="471">
        <f t="shared" si="38"/>
        <v>1843740.9371428562</v>
      </c>
      <c r="E371" s="515">
        <f t="shared" si="39"/>
        <v>57616.904285714285</v>
      </c>
      <c r="F371" s="515">
        <f t="shared" si="32"/>
        <v>1786124.0328571419</v>
      </c>
      <c r="G371" s="471">
        <f t="shared" si="33"/>
        <v>1814932.4849999989</v>
      </c>
      <c r="H371" s="509">
        <f>+J355*G371+E371</f>
        <v>257585.30013109712</v>
      </c>
      <c r="I371" s="516">
        <f>+J356*G371+E371</f>
        <v>257585.30013109712</v>
      </c>
      <c r="J371" s="512">
        <f t="shared" si="34"/>
        <v>0</v>
      </c>
      <c r="K371" s="512"/>
      <c r="L371" s="517">
        <v>257931.18908387123</v>
      </c>
      <c r="M371" s="512">
        <f t="shared" si="35"/>
        <v>-345.88895277411211</v>
      </c>
      <c r="N371" s="517">
        <v>257931.18908387123</v>
      </c>
      <c r="O371" s="512">
        <f t="shared" si="36"/>
        <v>-345.88895277411211</v>
      </c>
      <c r="P371" s="512">
        <f t="shared" si="37"/>
        <v>0</v>
      </c>
      <c r="Q371" s="473"/>
    </row>
    <row r="372" spans="3:17">
      <c r="C372" s="508">
        <f>IF(D354="","-",+C371+1)</f>
        <v>2026</v>
      </c>
      <c r="D372" s="471">
        <f t="shared" si="38"/>
        <v>1786124.0328571419</v>
      </c>
      <c r="E372" s="515">
        <f t="shared" si="39"/>
        <v>57616.904285714285</v>
      </c>
      <c r="F372" s="515">
        <f t="shared" si="32"/>
        <v>1728507.1285714277</v>
      </c>
      <c r="G372" s="471">
        <f t="shared" si="33"/>
        <v>1757315.5807142849</v>
      </c>
      <c r="H372" s="509">
        <f>+J355*G372+E372</f>
        <v>251237.09708838657</v>
      </c>
      <c r="I372" s="516">
        <f>+J356*G372+E372</f>
        <v>251237.09708838657</v>
      </c>
      <c r="J372" s="512">
        <f t="shared" si="34"/>
        <v>0</v>
      </c>
      <c r="K372" s="512"/>
      <c r="L372" s="517"/>
      <c r="M372" s="512">
        <f t="shared" si="35"/>
        <v>0</v>
      </c>
      <c r="N372" s="517"/>
      <c r="O372" s="512">
        <f t="shared" si="36"/>
        <v>0</v>
      </c>
      <c r="P372" s="512">
        <f t="shared" si="37"/>
        <v>0</v>
      </c>
      <c r="Q372" s="473"/>
    </row>
    <row r="373" spans="3:17">
      <c r="C373" s="508">
        <f>IF(D354="","-",+C372+1)</f>
        <v>2027</v>
      </c>
      <c r="D373" s="471">
        <f t="shared" si="38"/>
        <v>1728507.1285714277</v>
      </c>
      <c r="E373" s="515">
        <f t="shared" si="39"/>
        <v>57616.904285714285</v>
      </c>
      <c r="F373" s="515">
        <f t="shared" si="32"/>
        <v>1670890.2242857134</v>
      </c>
      <c r="G373" s="471">
        <f t="shared" si="33"/>
        <v>1699698.6764285704</v>
      </c>
      <c r="H373" s="509">
        <f>+J355*G373+E373</f>
        <v>244888.89404567596</v>
      </c>
      <c r="I373" s="516">
        <f>+J356*G373+E373</f>
        <v>244888.89404567596</v>
      </c>
      <c r="J373" s="512">
        <f t="shared" si="34"/>
        <v>0</v>
      </c>
      <c r="K373" s="512"/>
      <c r="L373" s="517"/>
      <c r="M373" s="512">
        <f t="shared" si="35"/>
        <v>0</v>
      </c>
      <c r="N373" s="517"/>
      <c r="O373" s="512">
        <f t="shared" si="36"/>
        <v>0</v>
      </c>
      <c r="P373" s="512">
        <f t="shared" si="37"/>
        <v>0</v>
      </c>
      <c r="Q373" s="473"/>
    </row>
    <row r="374" spans="3:17">
      <c r="C374" s="508">
        <f>IF(D354="","-",+C373+1)</f>
        <v>2028</v>
      </c>
      <c r="D374" s="471">
        <f t="shared" si="38"/>
        <v>1670890.2242857134</v>
      </c>
      <c r="E374" s="515">
        <f t="shared" si="39"/>
        <v>57616.904285714285</v>
      </c>
      <c r="F374" s="515">
        <f t="shared" si="32"/>
        <v>1613273.3199999991</v>
      </c>
      <c r="G374" s="471">
        <f t="shared" si="33"/>
        <v>1642081.7721428564</v>
      </c>
      <c r="H374" s="509">
        <f>+J355*G374+E374</f>
        <v>238540.69100296544</v>
      </c>
      <c r="I374" s="516">
        <f>+J356*G374+E374</f>
        <v>238540.69100296544</v>
      </c>
      <c r="J374" s="512">
        <f t="shared" si="34"/>
        <v>0</v>
      </c>
      <c r="K374" s="512"/>
      <c r="L374" s="517"/>
      <c r="M374" s="512">
        <f t="shared" si="35"/>
        <v>0</v>
      </c>
      <c r="N374" s="517"/>
      <c r="O374" s="512">
        <f t="shared" si="36"/>
        <v>0</v>
      </c>
      <c r="P374" s="512">
        <f t="shared" si="37"/>
        <v>0</v>
      </c>
      <c r="Q374" s="473"/>
    </row>
    <row r="375" spans="3:17">
      <c r="C375" s="508">
        <f>IF(D354="","-",+C374+1)</f>
        <v>2029</v>
      </c>
      <c r="D375" s="471">
        <f t="shared" si="38"/>
        <v>1613273.3199999991</v>
      </c>
      <c r="E375" s="515">
        <f t="shared" si="39"/>
        <v>57616.904285714285</v>
      </c>
      <c r="F375" s="515">
        <f t="shared" si="32"/>
        <v>1555656.4157142849</v>
      </c>
      <c r="G375" s="471">
        <f t="shared" si="33"/>
        <v>1584464.8678571419</v>
      </c>
      <c r="H375" s="509">
        <f>+J355*G375+E375</f>
        <v>232192.48796025483</v>
      </c>
      <c r="I375" s="516">
        <f>+J356*G375+E375</f>
        <v>232192.48796025483</v>
      </c>
      <c r="J375" s="512">
        <f t="shared" si="34"/>
        <v>0</v>
      </c>
      <c r="K375" s="512"/>
      <c r="L375" s="517"/>
      <c r="M375" s="512">
        <f t="shared" si="35"/>
        <v>0</v>
      </c>
      <c r="N375" s="517"/>
      <c r="O375" s="512">
        <f t="shared" si="36"/>
        <v>0</v>
      </c>
      <c r="P375" s="512">
        <f t="shared" si="37"/>
        <v>0</v>
      </c>
      <c r="Q375" s="473"/>
    </row>
    <row r="376" spans="3:17">
      <c r="C376" s="508">
        <f>IF(D354="","-",+C375+1)</f>
        <v>2030</v>
      </c>
      <c r="D376" s="471">
        <f t="shared" si="38"/>
        <v>1555656.4157142849</v>
      </c>
      <c r="E376" s="515">
        <f t="shared" si="39"/>
        <v>57616.904285714285</v>
      </c>
      <c r="F376" s="515">
        <f t="shared" si="32"/>
        <v>1498039.5114285706</v>
      </c>
      <c r="G376" s="471">
        <f t="shared" si="33"/>
        <v>1526847.9635714279</v>
      </c>
      <c r="H376" s="509">
        <f>+J355*G376+E376</f>
        <v>225844.28491754428</v>
      </c>
      <c r="I376" s="516">
        <f>+J356*G376+E376</f>
        <v>225844.28491754428</v>
      </c>
      <c r="J376" s="512">
        <f t="shared" si="34"/>
        <v>0</v>
      </c>
      <c r="K376" s="512"/>
      <c r="L376" s="517"/>
      <c r="M376" s="512">
        <f t="shared" si="35"/>
        <v>0</v>
      </c>
      <c r="N376" s="517"/>
      <c r="O376" s="512">
        <f t="shared" si="36"/>
        <v>0</v>
      </c>
      <c r="P376" s="512">
        <f t="shared" si="37"/>
        <v>0</v>
      </c>
      <c r="Q376" s="473"/>
    </row>
    <row r="377" spans="3:17">
      <c r="C377" s="508">
        <f>IF(D354="","-",+C376+1)</f>
        <v>2031</v>
      </c>
      <c r="D377" s="471">
        <f t="shared" si="38"/>
        <v>1498039.5114285706</v>
      </c>
      <c r="E377" s="515">
        <f t="shared" si="39"/>
        <v>57616.904285714285</v>
      </c>
      <c r="F377" s="515">
        <f t="shared" si="32"/>
        <v>1440422.6071428563</v>
      </c>
      <c r="G377" s="471">
        <f t="shared" si="33"/>
        <v>1469231.0592857134</v>
      </c>
      <c r="H377" s="509">
        <f>+J355*G377+E377</f>
        <v>219496.0818748337</v>
      </c>
      <c r="I377" s="516">
        <f>+J356*G377+E377</f>
        <v>219496.0818748337</v>
      </c>
      <c r="J377" s="512">
        <f t="shared" si="34"/>
        <v>0</v>
      </c>
      <c r="K377" s="512"/>
      <c r="L377" s="517"/>
      <c r="M377" s="512">
        <f t="shared" si="35"/>
        <v>0</v>
      </c>
      <c r="N377" s="517"/>
      <c r="O377" s="512">
        <f t="shared" si="36"/>
        <v>0</v>
      </c>
      <c r="P377" s="512">
        <f t="shared" si="37"/>
        <v>0</v>
      </c>
      <c r="Q377" s="473"/>
    </row>
    <row r="378" spans="3:17">
      <c r="C378" s="508">
        <f>IF(D354="","-",+C377+1)</f>
        <v>2032</v>
      </c>
      <c r="D378" s="471">
        <f t="shared" si="38"/>
        <v>1440422.6071428563</v>
      </c>
      <c r="E378" s="515">
        <f t="shared" si="39"/>
        <v>57616.904285714285</v>
      </c>
      <c r="F378" s="515">
        <f t="shared" si="32"/>
        <v>1382805.7028571421</v>
      </c>
      <c r="G378" s="471">
        <f t="shared" si="33"/>
        <v>1411614.1549999993</v>
      </c>
      <c r="H378" s="509">
        <f>+J355*G378+E378</f>
        <v>213147.87883212316</v>
      </c>
      <c r="I378" s="516">
        <f>+J356*G378+E378</f>
        <v>213147.87883212316</v>
      </c>
      <c r="J378" s="512">
        <f t="shared" si="34"/>
        <v>0</v>
      </c>
      <c r="K378" s="512"/>
      <c r="L378" s="517"/>
      <c r="M378" s="512">
        <f t="shared" si="35"/>
        <v>0</v>
      </c>
      <c r="N378" s="517"/>
      <c r="O378" s="512">
        <f t="shared" si="36"/>
        <v>0</v>
      </c>
      <c r="P378" s="512">
        <f t="shared" si="37"/>
        <v>0</v>
      </c>
      <c r="Q378" s="473"/>
    </row>
    <row r="379" spans="3:17">
      <c r="C379" s="508">
        <f>IF(D354="","-",+C378+1)</f>
        <v>2033</v>
      </c>
      <c r="D379" s="471">
        <f t="shared" si="38"/>
        <v>1382805.7028571421</v>
      </c>
      <c r="E379" s="515">
        <f t="shared" si="39"/>
        <v>57616.904285714285</v>
      </c>
      <c r="F379" s="515">
        <f t="shared" si="32"/>
        <v>1325188.7985714278</v>
      </c>
      <c r="G379" s="471">
        <f t="shared" si="33"/>
        <v>1353997.2507142848</v>
      </c>
      <c r="H379" s="509">
        <f>+J355*G379+E379</f>
        <v>206799.67578941258</v>
      </c>
      <c r="I379" s="516">
        <f>+J356*G379+E379</f>
        <v>206799.67578941258</v>
      </c>
      <c r="J379" s="512">
        <f t="shared" si="34"/>
        <v>0</v>
      </c>
      <c r="K379" s="512"/>
      <c r="L379" s="517"/>
      <c r="M379" s="512">
        <f t="shared" si="35"/>
        <v>0</v>
      </c>
      <c r="N379" s="517"/>
      <c r="O379" s="512">
        <f t="shared" si="36"/>
        <v>0</v>
      </c>
      <c r="P379" s="512">
        <f t="shared" si="37"/>
        <v>0</v>
      </c>
      <c r="Q379" s="473"/>
    </row>
    <row r="380" spans="3:17">
      <c r="C380" s="508">
        <f>IF(D354="","-",+C379+1)</f>
        <v>2034</v>
      </c>
      <c r="D380" s="471">
        <f t="shared" si="38"/>
        <v>1325188.7985714278</v>
      </c>
      <c r="E380" s="515">
        <f t="shared" si="39"/>
        <v>57616.904285714285</v>
      </c>
      <c r="F380" s="515">
        <f t="shared" si="32"/>
        <v>1267571.8942857136</v>
      </c>
      <c r="G380" s="471">
        <f t="shared" si="33"/>
        <v>1296380.3464285708</v>
      </c>
      <c r="H380" s="509">
        <f>+J355*G380+E380</f>
        <v>200451.47274670203</v>
      </c>
      <c r="I380" s="516">
        <f>+J356*G380+E380</f>
        <v>200451.47274670203</v>
      </c>
      <c r="J380" s="512">
        <f t="shared" si="34"/>
        <v>0</v>
      </c>
      <c r="K380" s="512"/>
      <c r="L380" s="517"/>
      <c r="M380" s="512">
        <f t="shared" si="35"/>
        <v>0</v>
      </c>
      <c r="N380" s="517"/>
      <c r="O380" s="512">
        <f t="shared" si="36"/>
        <v>0</v>
      </c>
      <c r="P380" s="512">
        <f t="shared" si="37"/>
        <v>0</v>
      </c>
      <c r="Q380" s="473"/>
    </row>
    <row r="381" spans="3:17">
      <c r="C381" s="508">
        <f>IF(D354="","-",+C380+1)</f>
        <v>2035</v>
      </c>
      <c r="D381" s="471">
        <f t="shared" si="38"/>
        <v>1267571.8942857136</v>
      </c>
      <c r="E381" s="515">
        <f t="shared" si="39"/>
        <v>57616.904285714285</v>
      </c>
      <c r="F381" s="515">
        <f t="shared" si="32"/>
        <v>1209954.9899999993</v>
      </c>
      <c r="G381" s="471">
        <f t="shared" si="33"/>
        <v>1238763.4421428563</v>
      </c>
      <c r="H381" s="509">
        <f>+J355*G381+E381</f>
        <v>194103.26970399145</v>
      </c>
      <c r="I381" s="516">
        <f>+J356*G381+E381</f>
        <v>194103.26970399145</v>
      </c>
      <c r="J381" s="512">
        <f t="shared" si="34"/>
        <v>0</v>
      </c>
      <c r="K381" s="512"/>
      <c r="L381" s="517"/>
      <c r="M381" s="512">
        <f t="shared" si="35"/>
        <v>0</v>
      </c>
      <c r="N381" s="517"/>
      <c r="O381" s="512">
        <f t="shared" si="36"/>
        <v>0</v>
      </c>
      <c r="P381" s="512">
        <f t="shared" si="37"/>
        <v>0</v>
      </c>
      <c r="Q381" s="473"/>
    </row>
    <row r="382" spans="3:17">
      <c r="C382" s="508">
        <f>IF(D354="","-",+C381+1)</f>
        <v>2036</v>
      </c>
      <c r="D382" s="471">
        <f t="shared" si="38"/>
        <v>1209954.9899999993</v>
      </c>
      <c r="E382" s="515">
        <f t="shared" si="39"/>
        <v>57616.904285714285</v>
      </c>
      <c r="F382" s="515">
        <f t="shared" si="32"/>
        <v>1152338.085714285</v>
      </c>
      <c r="G382" s="471">
        <f t="shared" si="33"/>
        <v>1181146.5378571423</v>
      </c>
      <c r="H382" s="509">
        <f>+J355*G382+E382</f>
        <v>187755.0666612809</v>
      </c>
      <c r="I382" s="516">
        <f>+J356*G382+E382</f>
        <v>187755.0666612809</v>
      </c>
      <c r="J382" s="512">
        <f t="shared" si="34"/>
        <v>0</v>
      </c>
      <c r="K382" s="512"/>
      <c r="L382" s="517"/>
      <c r="M382" s="512">
        <f t="shared" si="35"/>
        <v>0</v>
      </c>
      <c r="N382" s="517"/>
      <c r="O382" s="512">
        <f t="shared" si="36"/>
        <v>0</v>
      </c>
      <c r="P382" s="512">
        <f t="shared" si="37"/>
        <v>0</v>
      </c>
      <c r="Q382" s="473"/>
    </row>
    <row r="383" spans="3:17">
      <c r="C383" s="508">
        <f>IF(D354="","-",+C382+1)</f>
        <v>2037</v>
      </c>
      <c r="D383" s="471">
        <f t="shared" si="38"/>
        <v>1152338.085714285</v>
      </c>
      <c r="E383" s="515">
        <f t="shared" si="39"/>
        <v>57616.904285714285</v>
      </c>
      <c r="F383" s="515">
        <f t="shared" si="32"/>
        <v>1094721.1814285708</v>
      </c>
      <c r="G383" s="471">
        <f t="shared" si="33"/>
        <v>1123529.6335714278</v>
      </c>
      <c r="H383" s="509">
        <f>+J355*G383+E383</f>
        <v>181406.86361857029</v>
      </c>
      <c r="I383" s="516">
        <f>+J356*G383+E383</f>
        <v>181406.86361857029</v>
      </c>
      <c r="J383" s="512">
        <f t="shared" si="34"/>
        <v>0</v>
      </c>
      <c r="K383" s="512"/>
      <c r="L383" s="517"/>
      <c r="M383" s="512">
        <f t="shared" si="35"/>
        <v>0</v>
      </c>
      <c r="N383" s="517"/>
      <c r="O383" s="512">
        <f t="shared" si="36"/>
        <v>0</v>
      </c>
      <c r="P383" s="512">
        <f t="shared" si="37"/>
        <v>0</v>
      </c>
      <c r="Q383" s="473"/>
    </row>
    <row r="384" spans="3:17">
      <c r="C384" s="508">
        <f>IF(D354="","-",+C383+1)</f>
        <v>2038</v>
      </c>
      <c r="D384" s="471">
        <f t="shared" si="38"/>
        <v>1094721.1814285708</v>
      </c>
      <c r="E384" s="515">
        <f t="shared" si="39"/>
        <v>57616.904285714285</v>
      </c>
      <c r="F384" s="515">
        <f t="shared" si="32"/>
        <v>1037104.2771428565</v>
      </c>
      <c r="G384" s="471">
        <f t="shared" si="33"/>
        <v>1065912.7292857138</v>
      </c>
      <c r="H384" s="509">
        <f>+J355*G384+E384</f>
        <v>175058.66057585974</v>
      </c>
      <c r="I384" s="516">
        <f>+J356*G384+E384</f>
        <v>175058.66057585974</v>
      </c>
      <c r="J384" s="512">
        <f t="shared" si="34"/>
        <v>0</v>
      </c>
      <c r="K384" s="512"/>
      <c r="L384" s="517"/>
      <c r="M384" s="512">
        <f t="shared" si="35"/>
        <v>0</v>
      </c>
      <c r="N384" s="517"/>
      <c r="O384" s="512">
        <f t="shared" si="36"/>
        <v>0</v>
      </c>
      <c r="P384" s="512">
        <f t="shared" si="37"/>
        <v>0</v>
      </c>
      <c r="Q384" s="473"/>
    </row>
    <row r="385" spans="3:17">
      <c r="C385" s="508">
        <f>IF(D354="","-",+C384+1)</f>
        <v>2039</v>
      </c>
      <c r="D385" s="471">
        <f t="shared" si="38"/>
        <v>1037104.2771428565</v>
      </c>
      <c r="E385" s="515">
        <f t="shared" si="39"/>
        <v>57616.904285714285</v>
      </c>
      <c r="F385" s="515">
        <f t="shared" si="32"/>
        <v>979487.37285714224</v>
      </c>
      <c r="G385" s="471">
        <f t="shared" si="33"/>
        <v>1008295.8249999994</v>
      </c>
      <c r="H385" s="509">
        <f>+J355*G385+E385</f>
        <v>168710.45753314917</v>
      </c>
      <c r="I385" s="516">
        <f>+J356*G385+E385</f>
        <v>168710.45753314917</v>
      </c>
      <c r="J385" s="512">
        <f t="shared" si="34"/>
        <v>0</v>
      </c>
      <c r="K385" s="512"/>
      <c r="L385" s="517"/>
      <c r="M385" s="512">
        <f t="shared" si="35"/>
        <v>0</v>
      </c>
      <c r="N385" s="517"/>
      <c r="O385" s="512">
        <f t="shared" si="36"/>
        <v>0</v>
      </c>
      <c r="P385" s="512">
        <f t="shared" si="37"/>
        <v>0</v>
      </c>
      <c r="Q385" s="473"/>
    </row>
    <row r="386" spans="3:17">
      <c r="C386" s="508">
        <f>IF(D354="","-",+C385+1)</f>
        <v>2040</v>
      </c>
      <c r="D386" s="471">
        <f t="shared" si="38"/>
        <v>979487.37285714224</v>
      </c>
      <c r="E386" s="515">
        <f t="shared" si="39"/>
        <v>57616.904285714285</v>
      </c>
      <c r="F386" s="515">
        <f t="shared" si="32"/>
        <v>921870.46857142798</v>
      </c>
      <c r="G386" s="471">
        <f t="shared" si="33"/>
        <v>950678.92071428511</v>
      </c>
      <c r="H386" s="509">
        <f>+J355*G386+E386</f>
        <v>162362.25449043862</v>
      </c>
      <c r="I386" s="516">
        <f>+J356*G386+E386</f>
        <v>162362.25449043862</v>
      </c>
      <c r="J386" s="512">
        <f t="shared" si="34"/>
        <v>0</v>
      </c>
      <c r="K386" s="512"/>
      <c r="L386" s="517"/>
      <c r="M386" s="512">
        <f t="shared" si="35"/>
        <v>0</v>
      </c>
      <c r="N386" s="517"/>
      <c r="O386" s="512">
        <f t="shared" si="36"/>
        <v>0</v>
      </c>
      <c r="P386" s="512">
        <f t="shared" si="37"/>
        <v>0</v>
      </c>
      <c r="Q386" s="473"/>
    </row>
    <row r="387" spans="3:17">
      <c r="C387" s="508">
        <f>IF(D354="","-",+C386+1)</f>
        <v>2041</v>
      </c>
      <c r="D387" s="471">
        <f t="shared" si="38"/>
        <v>921870.46857142798</v>
      </c>
      <c r="E387" s="515">
        <f t="shared" si="39"/>
        <v>57616.904285714285</v>
      </c>
      <c r="F387" s="515">
        <f t="shared" si="32"/>
        <v>864253.56428571371</v>
      </c>
      <c r="G387" s="471">
        <f t="shared" si="33"/>
        <v>893062.01642857085</v>
      </c>
      <c r="H387" s="509">
        <f>+J355*G387+E387</f>
        <v>156014.05144772804</v>
      </c>
      <c r="I387" s="516">
        <f>+J356*G387+E387</f>
        <v>156014.05144772804</v>
      </c>
      <c r="J387" s="512">
        <f t="shared" si="34"/>
        <v>0</v>
      </c>
      <c r="K387" s="512"/>
      <c r="L387" s="517"/>
      <c r="M387" s="512">
        <f t="shared" si="35"/>
        <v>0</v>
      </c>
      <c r="N387" s="517"/>
      <c r="O387" s="512">
        <f t="shared" si="36"/>
        <v>0</v>
      </c>
      <c r="P387" s="512">
        <f t="shared" si="37"/>
        <v>0</v>
      </c>
      <c r="Q387" s="473"/>
    </row>
    <row r="388" spans="3:17">
      <c r="C388" s="508">
        <f>IF(D354="","-",+C387+1)</f>
        <v>2042</v>
      </c>
      <c r="D388" s="471">
        <f t="shared" si="38"/>
        <v>864253.56428571371</v>
      </c>
      <c r="E388" s="515">
        <f t="shared" si="39"/>
        <v>57616.904285714285</v>
      </c>
      <c r="F388" s="515">
        <f t="shared" si="32"/>
        <v>806636.65999999945</v>
      </c>
      <c r="G388" s="471">
        <f t="shared" si="33"/>
        <v>835445.11214285658</v>
      </c>
      <c r="H388" s="509">
        <f>+J355*G388+E388</f>
        <v>149665.84840501749</v>
      </c>
      <c r="I388" s="516">
        <f>+J356*G388+E388</f>
        <v>149665.84840501749</v>
      </c>
      <c r="J388" s="512">
        <f t="shared" si="34"/>
        <v>0</v>
      </c>
      <c r="K388" s="512"/>
      <c r="L388" s="517"/>
      <c r="M388" s="512">
        <f t="shared" si="35"/>
        <v>0</v>
      </c>
      <c r="N388" s="517"/>
      <c r="O388" s="512">
        <f t="shared" si="36"/>
        <v>0</v>
      </c>
      <c r="P388" s="512">
        <f t="shared" si="37"/>
        <v>0</v>
      </c>
      <c r="Q388" s="473"/>
    </row>
    <row r="389" spans="3:17">
      <c r="C389" s="508">
        <f>IF(D354="","-",+C388+1)</f>
        <v>2043</v>
      </c>
      <c r="D389" s="471">
        <f t="shared" si="38"/>
        <v>806636.65999999945</v>
      </c>
      <c r="E389" s="515">
        <f t="shared" si="39"/>
        <v>57616.904285714285</v>
      </c>
      <c r="F389" s="515">
        <f t="shared" si="32"/>
        <v>749019.75571428519</v>
      </c>
      <c r="G389" s="471">
        <f t="shared" si="33"/>
        <v>777828.20785714232</v>
      </c>
      <c r="H389" s="509">
        <f>+J355*G389+E389</f>
        <v>143317.64536230691</v>
      </c>
      <c r="I389" s="516">
        <f>+J356*G389+E389</f>
        <v>143317.64536230691</v>
      </c>
      <c r="J389" s="512">
        <f t="shared" si="34"/>
        <v>0</v>
      </c>
      <c r="K389" s="512"/>
      <c r="L389" s="517"/>
      <c r="M389" s="512">
        <f t="shared" si="35"/>
        <v>0</v>
      </c>
      <c r="N389" s="517"/>
      <c r="O389" s="512">
        <f t="shared" si="36"/>
        <v>0</v>
      </c>
      <c r="P389" s="512">
        <f t="shared" si="37"/>
        <v>0</v>
      </c>
      <c r="Q389" s="473"/>
    </row>
    <row r="390" spans="3:17">
      <c r="C390" s="508">
        <f>IF(D354="","-",+C389+1)</f>
        <v>2044</v>
      </c>
      <c r="D390" s="471">
        <f t="shared" si="38"/>
        <v>749019.75571428519</v>
      </c>
      <c r="E390" s="515">
        <f t="shared" si="39"/>
        <v>57616.904285714285</v>
      </c>
      <c r="F390" s="515">
        <f t="shared" si="32"/>
        <v>691402.85142857092</v>
      </c>
      <c r="G390" s="471">
        <f t="shared" si="33"/>
        <v>720211.30357142806</v>
      </c>
      <c r="H390" s="509">
        <f>+J355*G390+E390</f>
        <v>136969.44231959633</v>
      </c>
      <c r="I390" s="516">
        <f>+J356*G390+E390</f>
        <v>136969.44231959633</v>
      </c>
      <c r="J390" s="512">
        <f t="shared" si="34"/>
        <v>0</v>
      </c>
      <c r="K390" s="512"/>
      <c r="L390" s="517"/>
      <c r="M390" s="512">
        <f t="shared" si="35"/>
        <v>0</v>
      </c>
      <c r="N390" s="517"/>
      <c r="O390" s="512">
        <f t="shared" si="36"/>
        <v>0</v>
      </c>
      <c r="P390" s="512">
        <f t="shared" si="37"/>
        <v>0</v>
      </c>
      <c r="Q390" s="473"/>
    </row>
    <row r="391" spans="3:17">
      <c r="C391" s="508">
        <f>IF(D354="","-",+C390+1)</f>
        <v>2045</v>
      </c>
      <c r="D391" s="471">
        <f t="shared" si="38"/>
        <v>691402.85142857092</v>
      </c>
      <c r="E391" s="515">
        <f t="shared" si="39"/>
        <v>57616.904285714285</v>
      </c>
      <c r="F391" s="515">
        <f t="shared" si="32"/>
        <v>633785.94714285666</v>
      </c>
      <c r="G391" s="471">
        <f t="shared" si="33"/>
        <v>662594.39928571379</v>
      </c>
      <c r="H391" s="509">
        <f>+J355*G391+E391</f>
        <v>130621.23927688578</v>
      </c>
      <c r="I391" s="516">
        <f>+J356*G391+E391</f>
        <v>130621.23927688578</v>
      </c>
      <c r="J391" s="512">
        <f t="shared" si="34"/>
        <v>0</v>
      </c>
      <c r="K391" s="512"/>
      <c r="L391" s="517"/>
      <c r="M391" s="512">
        <f t="shared" si="35"/>
        <v>0</v>
      </c>
      <c r="N391" s="517"/>
      <c r="O391" s="512">
        <f t="shared" si="36"/>
        <v>0</v>
      </c>
      <c r="P391" s="512">
        <f t="shared" si="37"/>
        <v>0</v>
      </c>
      <c r="Q391" s="473"/>
    </row>
    <row r="392" spans="3:17">
      <c r="C392" s="508">
        <f>IF(D354="","-",+C391+1)</f>
        <v>2046</v>
      </c>
      <c r="D392" s="471">
        <f t="shared" si="38"/>
        <v>633785.94714285666</v>
      </c>
      <c r="E392" s="515">
        <f t="shared" si="39"/>
        <v>57616.904285714285</v>
      </c>
      <c r="F392" s="515">
        <f t="shared" si="32"/>
        <v>576169.0428571424</v>
      </c>
      <c r="G392" s="471">
        <f t="shared" si="33"/>
        <v>604977.49499999953</v>
      </c>
      <c r="H392" s="509">
        <f>+J355*G392+E392</f>
        <v>124273.0362341752</v>
      </c>
      <c r="I392" s="516">
        <f>+J356*G392+E392</f>
        <v>124273.0362341752</v>
      </c>
      <c r="J392" s="512">
        <f t="shared" si="34"/>
        <v>0</v>
      </c>
      <c r="K392" s="512"/>
      <c r="L392" s="517"/>
      <c r="M392" s="512">
        <f t="shared" si="35"/>
        <v>0</v>
      </c>
      <c r="N392" s="517"/>
      <c r="O392" s="512">
        <f t="shared" si="36"/>
        <v>0</v>
      </c>
      <c r="P392" s="512">
        <f t="shared" si="37"/>
        <v>0</v>
      </c>
      <c r="Q392" s="473"/>
    </row>
    <row r="393" spans="3:17">
      <c r="C393" s="508">
        <f>IF(D354="","-",+C392+1)</f>
        <v>2047</v>
      </c>
      <c r="D393" s="471">
        <f t="shared" si="38"/>
        <v>576169.0428571424</v>
      </c>
      <c r="E393" s="515">
        <f t="shared" si="39"/>
        <v>57616.904285714285</v>
      </c>
      <c r="F393" s="515">
        <f t="shared" si="32"/>
        <v>518552.13857142814</v>
      </c>
      <c r="G393" s="471">
        <f t="shared" si="33"/>
        <v>547360.59071428527</v>
      </c>
      <c r="H393" s="509">
        <f>+J355*G393+E393</f>
        <v>117924.83319146464</v>
      </c>
      <c r="I393" s="516">
        <f>+J356*G393+E393</f>
        <v>117924.83319146464</v>
      </c>
      <c r="J393" s="512">
        <f t="shared" si="34"/>
        <v>0</v>
      </c>
      <c r="K393" s="512"/>
      <c r="L393" s="517"/>
      <c r="M393" s="512">
        <f t="shared" si="35"/>
        <v>0</v>
      </c>
      <c r="N393" s="517"/>
      <c r="O393" s="512">
        <f t="shared" si="36"/>
        <v>0</v>
      </c>
      <c r="P393" s="512">
        <f t="shared" si="37"/>
        <v>0</v>
      </c>
      <c r="Q393" s="473"/>
    </row>
    <row r="394" spans="3:17">
      <c r="C394" s="508">
        <f>IF(D354="","-",+C393+1)</f>
        <v>2048</v>
      </c>
      <c r="D394" s="471">
        <f t="shared" si="38"/>
        <v>518552.13857142814</v>
      </c>
      <c r="E394" s="515">
        <f t="shared" si="39"/>
        <v>57616.904285714285</v>
      </c>
      <c r="F394" s="515">
        <f t="shared" si="32"/>
        <v>460935.23428571387</v>
      </c>
      <c r="G394" s="471">
        <f t="shared" si="33"/>
        <v>489743.686428571</v>
      </c>
      <c r="H394" s="509">
        <f>+J355*G394+E394</f>
        <v>111576.63014875408</v>
      </c>
      <c r="I394" s="516">
        <f>+J356*G394+E394</f>
        <v>111576.63014875408</v>
      </c>
      <c r="J394" s="512">
        <f t="shared" si="34"/>
        <v>0</v>
      </c>
      <c r="K394" s="512"/>
      <c r="L394" s="517"/>
      <c r="M394" s="512">
        <f t="shared" si="35"/>
        <v>0</v>
      </c>
      <c r="N394" s="517"/>
      <c r="O394" s="512">
        <f t="shared" si="36"/>
        <v>0</v>
      </c>
      <c r="P394" s="512">
        <f t="shared" si="37"/>
        <v>0</v>
      </c>
      <c r="Q394" s="473"/>
    </row>
    <row r="395" spans="3:17">
      <c r="C395" s="508">
        <f>IF(D354="","-",+C394+1)</f>
        <v>2049</v>
      </c>
      <c r="D395" s="471">
        <f t="shared" si="38"/>
        <v>460935.23428571387</v>
      </c>
      <c r="E395" s="515">
        <f t="shared" si="39"/>
        <v>57616.904285714285</v>
      </c>
      <c r="F395" s="515">
        <f t="shared" si="32"/>
        <v>403318.32999999961</v>
      </c>
      <c r="G395" s="471">
        <f t="shared" si="33"/>
        <v>432126.78214285674</v>
      </c>
      <c r="H395" s="509">
        <f>+J355*G395+E395</f>
        <v>105228.4271060435</v>
      </c>
      <c r="I395" s="516">
        <f>+J356*G395+E395</f>
        <v>105228.4271060435</v>
      </c>
      <c r="J395" s="512">
        <f t="shared" si="34"/>
        <v>0</v>
      </c>
      <c r="K395" s="512"/>
      <c r="L395" s="517"/>
      <c r="M395" s="512">
        <f t="shared" si="35"/>
        <v>0</v>
      </c>
      <c r="N395" s="517"/>
      <c r="O395" s="512">
        <f t="shared" si="36"/>
        <v>0</v>
      </c>
      <c r="P395" s="512">
        <f t="shared" si="37"/>
        <v>0</v>
      </c>
      <c r="Q395" s="473"/>
    </row>
    <row r="396" spans="3:17">
      <c r="C396" s="508">
        <f>IF(D354="","-",+C395+1)</f>
        <v>2050</v>
      </c>
      <c r="D396" s="471">
        <f t="shared" si="38"/>
        <v>403318.32999999961</v>
      </c>
      <c r="E396" s="515">
        <f t="shared" si="39"/>
        <v>57616.904285714285</v>
      </c>
      <c r="F396" s="515">
        <f t="shared" si="32"/>
        <v>345701.42571428535</v>
      </c>
      <c r="G396" s="471">
        <f t="shared" si="33"/>
        <v>374509.87785714248</v>
      </c>
      <c r="H396" s="509">
        <f>+J355*G396+E396</f>
        <v>98880.224063332949</v>
      </c>
      <c r="I396" s="516">
        <f>+J356*G396+E396</f>
        <v>98880.224063332949</v>
      </c>
      <c r="J396" s="512">
        <f t="shared" si="34"/>
        <v>0</v>
      </c>
      <c r="K396" s="512"/>
      <c r="L396" s="517"/>
      <c r="M396" s="512">
        <f t="shared" si="35"/>
        <v>0</v>
      </c>
      <c r="N396" s="517"/>
      <c r="O396" s="512">
        <f t="shared" si="36"/>
        <v>0</v>
      </c>
      <c r="P396" s="512">
        <f t="shared" si="37"/>
        <v>0</v>
      </c>
      <c r="Q396" s="473"/>
    </row>
    <row r="397" spans="3:17">
      <c r="C397" s="508">
        <f>IF(D354="","-",+C396+1)</f>
        <v>2051</v>
      </c>
      <c r="D397" s="471">
        <f t="shared" si="38"/>
        <v>345701.42571428535</v>
      </c>
      <c r="E397" s="515">
        <f t="shared" si="39"/>
        <v>57616.904285714285</v>
      </c>
      <c r="F397" s="515">
        <f t="shared" si="32"/>
        <v>288084.52142857108</v>
      </c>
      <c r="G397" s="471">
        <f t="shared" si="33"/>
        <v>316892.97357142821</v>
      </c>
      <c r="H397" s="509">
        <f>+J355*G397+E397</f>
        <v>92532.021020622371</v>
      </c>
      <c r="I397" s="516">
        <f>+J356*G397+E397</f>
        <v>92532.021020622371</v>
      </c>
      <c r="J397" s="512">
        <f t="shared" si="34"/>
        <v>0</v>
      </c>
      <c r="K397" s="512"/>
      <c r="L397" s="517"/>
      <c r="M397" s="512">
        <f t="shared" si="35"/>
        <v>0</v>
      </c>
      <c r="N397" s="517"/>
      <c r="O397" s="512">
        <f t="shared" si="36"/>
        <v>0</v>
      </c>
      <c r="P397" s="512">
        <f t="shared" si="37"/>
        <v>0</v>
      </c>
      <c r="Q397" s="473"/>
    </row>
    <row r="398" spans="3:17">
      <c r="C398" s="508">
        <f>IF(D354="","-",+C397+1)</f>
        <v>2052</v>
      </c>
      <c r="D398" s="471">
        <f t="shared" si="38"/>
        <v>288084.52142857108</v>
      </c>
      <c r="E398" s="515">
        <f t="shared" si="39"/>
        <v>57616.904285714285</v>
      </c>
      <c r="F398" s="515">
        <f t="shared" si="32"/>
        <v>230467.61714285679</v>
      </c>
      <c r="G398" s="471">
        <f t="shared" si="33"/>
        <v>259276.06928571395</v>
      </c>
      <c r="H398" s="509">
        <f>+J355*G398+E398</f>
        <v>86183.817977911807</v>
      </c>
      <c r="I398" s="516">
        <f>+J356*G398+E398</f>
        <v>86183.817977911807</v>
      </c>
      <c r="J398" s="512">
        <f t="shared" si="34"/>
        <v>0</v>
      </c>
      <c r="K398" s="512"/>
      <c r="L398" s="517"/>
      <c r="M398" s="512">
        <f t="shared" si="35"/>
        <v>0</v>
      </c>
      <c r="N398" s="517"/>
      <c r="O398" s="512">
        <f t="shared" si="36"/>
        <v>0</v>
      </c>
      <c r="P398" s="512">
        <f t="shared" si="37"/>
        <v>0</v>
      </c>
      <c r="Q398" s="473"/>
    </row>
    <row r="399" spans="3:17">
      <c r="C399" s="508">
        <f>IF(D354="","-",+C398+1)</f>
        <v>2053</v>
      </c>
      <c r="D399" s="471">
        <f t="shared" si="38"/>
        <v>230467.61714285679</v>
      </c>
      <c r="E399" s="515">
        <f t="shared" si="39"/>
        <v>57616.904285714285</v>
      </c>
      <c r="F399" s="515">
        <f t="shared" si="32"/>
        <v>172850.7128571425</v>
      </c>
      <c r="G399" s="471">
        <f t="shared" si="33"/>
        <v>201659.16499999963</v>
      </c>
      <c r="H399" s="509">
        <f>+J355*G399+E399</f>
        <v>79835.614935201243</v>
      </c>
      <c r="I399" s="516">
        <f>+J356*G399+E399</f>
        <v>79835.614935201243</v>
      </c>
      <c r="J399" s="512">
        <f t="shared" si="34"/>
        <v>0</v>
      </c>
      <c r="K399" s="512"/>
      <c r="L399" s="517"/>
      <c r="M399" s="512">
        <f t="shared" si="35"/>
        <v>0</v>
      </c>
      <c r="N399" s="517"/>
      <c r="O399" s="512">
        <f t="shared" si="36"/>
        <v>0</v>
      </c>
      <c r="P399" s="512">
        <f t="shared" si="37"/>
        <v>0</v>
      </c>
      <c r="Q399" s="473"/>
    </row>
    <row r="400" spans="3:17">
      <c r="C400" s="508">
        <f>IF(D354="","-",+C399+1)</f>
        <v>2054</v>
      </c>
      <c r="D400" s="471">
        <f t="shared" si="38"/>
        <v>172850.7128571425</v>
      </c>
      <c r="E400" s="515">
        <f t="shared" si="39"/>
        <v>57616.904285714285</v>
      </c>
      <c r="F400" s="515">
        <f t="shared" si="32"/>
        <v>115233.80857142821</v>
      </c>
      <c r="G400" s="471">
        <f t="shared" si="33"/>
        <v>144042.26071428537</v>
      </c>
      <c r="H400" s="509">
        <f>+J355*G400+E400</f>
        <v>73487.411892490665</v>
      </c>
      <c r="I400" s="516">
        <f>+J356*G400+E400</f>
        <v>73487.411892490665</v>
      </c>
      <c r="J400" s="512">
        <f t="shared" si="34"/>
        <v>0</v>
      </c>
      <c r="K400" s="512"/>
      <c r="L400" s="517"/>
      <c r="M400" s="512">
        <f t="shared" si="35"/>
        <v>0</v>
      </c>
      <c r="N400" s="517"/>
      <c r="O400" s="512">
        <f t="shared" si="36"/>
        <v>0</v>
      </c>
      <c r="P400" s="512">
        <f t="shared" si="37"/>
        <v>0</v>
      </c>
      <c r="Q400" s="473"/>
    </row>
    <row r="401" spans="3:17">
      <c r="C401" s="508">
        <f>IF(D354="","-",+C400+1)</f>
        <v>2055</v>
      </c>
      <c r="D401" s="471">
        <f t="shared" si="38"/>
        <v>115233.80857142821</v>
      </c>
      <c r="E401" s="515">
        <f t="shared" si="39"/>
        <v>57616.904285714285</v>
      </c>
      <c r="F401" s="515">
        <f t="shared" si="32"/>
        <v>57616.904285713921</v>
      </c>
      <c r="G401" s="471">
        <f t="shared" si="33"/>
        <v>86425.35642857106</v>
      </c>
      <c r="H401" s="509">
        <f>+J355*G401+E401</f>
        <v>67139.208849780101</v>
      </c>
      <c r="I401" s="516">
        <f>+J356*G401+E401</f>
        <v>67139.208849780101</v>
      </c>
      <c r="J401" s="512">
        <f t="shared" si="34"/>
        <v>0</v>
      </c>
      <c r="K401" s="512"/>
      <c r="L401" s="517"/>
      <c r="M401" s="512">
        <f t="shared" si="35"/>
        <v>0</v>
      </c>
      <c r="N401" s="517"/>
      <c r="O401" s="512">
        <f t="shared" si="36"/>
        <v>0</v>
      </c>
      <c r="P401" s="512">
        <f t="shared" si="37"/>
        <v>0</v>
      </c>
      <c r="Q401" s="473"/>
    </row>
    <row r="402" spans="3:17">
      <c r="C402" s="508">
        <f>IF(D354="","-",+C401+1)</f>
        <v>2056</v>
      </c>
      <c r="D402" s="471">
        <f t="shared" si="38"/>
        <v>57616.904285713921</v>
      </c>
      <c r="E402" s="515">
        <f t="shared" si="39"/>
        <v>57616.904285713921</v>
      </c>
      <c r="F402" s="515">
        <f t="shared" si="32"/>
        <v>0</v>
      </c>
      <c r="G402" s="471">
        <f t="shared" si="33"/>
        <v>28808.452142856961</v>
      </c>
      <c r="H402" s="509">
        <f>+J355*G402+E402</f>
        <v>60791.005807069188</v>
      </c>
      <c r="I402" s="516">
        <f>+J356*G402+E402</f>
        <v>60791.005807069188</v>
      </c>
      <c r="J402" s="512">
        <f t="shared" si="34"/>
        <v>0</v>
      </c>
      <c r="K402" s="512"/>
      <c r="L402" s="517"/>
      <c r="M402" s="512">
        <f t="shared" si="35"/>
        <v>0</v>
      </c>
      <c r="N402" s="517"/>
      <c r="O402" s="512">
        <f t="shared" si="36"/>
        <v>0</v>
      </c>
      <c r="P402" s="512">
        <f t="shared" si="37"/>
        <v>0</v>
      </c>
      <c r="Q402" s="473"/>
    </row>
    <row r="403" spans="3:17">
      <c r="C403" s="508">
        <f>IF(D354="","-",+C402+1)</f>
        <v>2057</v>
      </c>
      <c r="D403" s="471">
        <f t="shared" si="38"/>
        <v>0</v>
      </c>
      <c r="E403" s="515">
        <f t="shared" si="39"/>
        <v>0</v>
      </c>
      <c r="F403" s="515">
        <f t="shared" si="32"/>
        <v>0</v>
      </c>
      <c r="G403" s="471">
        <f t="shared" si="33"/>
        <v>0</v>
      </c>
      <c r="H403" s="509">
        <f>+J355*G403+E403</f>
        <v>0</v>
      </c>
      <c r="I403" s="516">
        <f>+J356*G403+E403</f>
        <v>0</v>
      </c>
      <c r="J403" s="512">
        <f t="shared" si="34"/>
        <v>0</v>
      </c>
      <c r="K403" s="512"/>
      <c r="L403" s="517"/>
      <c r="M403" s="512">
        <f t="shared" si="35"/>
        <v>0</v>
      </c>
      <c r="N403" s="517"/>
      <c r="O403" s="512">
        <f t="shared" si="36"/>
        <v>0</v>
      </c>
      <c r="P403" s="512">
        <f t="shared" si="37"/>
        <v>0</v>
      </c>
      <c r="Q403" s="473"/>
    </row>
    <row r="404" spans="3:17">
      <c r="C404" s="508">
        <f>IF(D354="","-",+C403+1)</f>
        <v>2058</v>
      </c>
      <c r="D404" s="471">
        <f t="shared" si="38"/>
        <v>0</v>
      </c>
      <c r="E404" s="515">
        <f t="shared" si="39"/>
        <v>0</v>
      </c>
      <c r="F404" s="515">
        <f t="shared" si="32"/>
        <v>0</v>
      </c>
      <c r="G404" s="471">
        <f t="shared" si="33"/>
        <v>0</v>
      </c>
      <c r="H404" s="509">
        <f>+J355*G404+E404</f>
        <v>0</v>
      </c>
      <c r="I404" s="516">
        <f>+J356*G404+E404</f>
        <v>0</v>
      </c>
      <c r="J404" s="512">
        <f t="shared" si="34"/>
        <v>0</v>
      </c>
      <c r="K404" s="512"/>
      <c r="L404" s="517"/>
      <c r="M404" s="512">
        <f t="shared" si="35"/>
        <v>0</v>
      </c>
      <c r="N404" s="517"/>
      <c r="O404" s="512">
        <f t="shared" si="36"/>
        <v>0</v>
      </c>
      <c r="P404" s="512">
        <f t="shared" si="37"/>
        <v>0</v>
      </c>
      <c r="Q404" s="473"/>
    </row>
    <row r="405" spans="3:17">
      <c r="C405" s="508">
        <f>IF(D354="","-",+C404+1)</f>
        <v>2059</v>
      </c>
      <c r="D405" s="471">
        <f t="shared" si="38"/>
        <v>0</v>
      </c>
      <c r="E405" s="515">
        <f t="shared" si="39"/>
        <v>0</v>
      </c>
      <c r="F405" s="515">
        <f t="shared" si="32"/>
        <v>0</v>
      </c>
      <c r="G405" s="471">
        <f t="shared" si="33"/>
        <v>0</v>
      </c>
      <c r="H405" s="509">
        <f>+J355*G405+E405</f>
        <v>0</v>
      </c>
      <c r="I405" s="516">
        <f>+J356*G405+E405</f>
        <v>0</v>
      </c>
      <c r="J405" s="512">
        <f t="shared" si="34"/>
        <v>0</v>
      </c>
      <c r="K405" s="512"/>
      <c r="L405" s="517"/>
      <c r="M405" s="512">
        <f t="shared" si="35"/>
        <v>0</v>
      </c>
      <c r="N405" s="517"/>
      <c r="O405" s="512">
        <f t="shared" si="36"/>
        <v>0</v>
      </c>
      <c r="P405" s="512">
        <f t="shared" si="37"/>
        <v>0</v>
      </c>
      <c r="Q405" s="473"/>
    </row>
    <row r="406" spans="3:17">
      <c r="C406" s="508">
        <f>IF(D354="","-",+C405+1)</f>
        <v>2060</v>
      </c>
      <c r="D406" s="471">
        <f t="shared" si="38"/>
        <v>0</v>
      </c>
      <c r="E406" s="515">
        <f t="shared" si="39"/>
        <v>0</v>
      </c>
      <c r="F406" s="515">
        <f t="shared" si="32"/>
        <v>0</v>
      </c>
      <c r="G406" s="471">
        <f t="shared" si="33"/>
        <v>0</v>
      </c>
      <c r="H406" s="509">
        <f>+J355*G406+E406</f>
        <v>0</v>
      </c>
      <c r="I406" s="516">
        <f>+J356*G406+E406</f>
        <v>0</v>
      </c>
      <c r="J406" s="512">
        <f t="shared" si="34"/>
        <v>0</v>
      </c>
      <c r="K406" s="512"/>
      <c r="L406" s="517"/>
      <c r="M406" s="512">
        <f t="shared" si="35"/>
        <v>0</v>
      </c>
      <c r="N406" s="517"/>
      <c r="O406" s="512">
        <f t="shared" si="36"/>
        <v>0</v>
      </c>
      <c r="P406" s="512">
        <f t="shared" si="37"/>
        <v>0</v>
      </c>
      <c r="Q406" s="473"/>
    </row>
    <row r="407" spans="3:17">
      <c r="C407" s="508">
        <f>IF(D354="","-",+C406+1)</f>
        <v>2061</v>
      </c>
      <c r="D407" s="471">
        <f t="shared" si="38"/>
        <v>0</v>
      </c>
      <c r="E407" s="515">
        <f t="shared" si="39"/>
        <v>0</v>
      </c>
      <c r="F407" s="515">
        <f t="shared" si="32"/>
        <v>0</v>
      </c>
      <c r="G407" s="471">
        <f t="shared" si="33"/>
        <v>0</v>
      </c>
      <c r="H407" s="509">
        <f>+J355*G407+E407</f>
        <v>0</v>
      </c>
      <c r="I407" s="516">
        <f>+J356*G407+E407</f>
        <v>0</v>
      </c>
      <c r="J407" s="512">
        <f t="shared" si="34"/>
        <v>0</v>
      </c>
      <c r="K407" s="512"/>
      <c r="L407" s="517"/>
      <c r="M407" s="512">
        <f t="shared" si="35"/>
        <v>0</v>
      </c>
      <c r="N407" s="517"/>
      <c r="O407" s="512">
        <f t="shared" si="36"/>
        <v>0</v>
      </c>
      <c r="P407" s="512">
        <f t="shared" si="37"/>
        <v>0</v>
      </c>
      <c r="Q407" s="473"/>
    </row>
    <row r="408" spans="3:17">
      <c r="C408" s="508">
        <f>IF(D354="","-",+C407+1)</f>
        <v>2062</v>
      </c>
      <c r="D408" s="471">
        <f t="shared" si="38"/>
        <v>0</v>
      </c>
      <c r="E408" s="515">
        <f t="shared" si="39"/>
        <v>0</v>
      </c>
      <c r="F408" s="515">
        <f t="shared" si="32"/>
        <v>0</v>
      </c>
      <c r="G408" s="471">
        <f t="shared" si="33"/>
        <v>0</v>
      </c>
      <c r="H408" s="509">
        <f>+J355*G408+E408</f>
        <v>0</v>
      </c>
      <c r="I408" s="516">
        <f>+J356*G408+E408</f>
        <v>0</v>
      </c>
      <c r="J408" s="512">
        <f t="shared" si="34"/>
        <v>0</v>
      </c>
      <c r="K408" s="512"/>
      <c r="L408" s="517"/>
      <c r="M408" s="512">
        <f t="shared" si="35"/>
        <v>0</v>
      </c>
      <c r="N408" s="517"/>
      <c r="O408" s="512">
        <f t="shared" si="36"/>
        <v>0</v>
      </c>
      <c r="P408" s="512">
        <f t="shared" si="37"/>
        <v>0</v>
      </c>
      <c r="Q408" s="473"/>
    </row>
    <row r="409" spans="3:17">
      <c r="C409" s="508">
        <f>IF(D354="","-",+C408+1)</f>
        <v>2063</v>
      </c>
      <c r="D409" s="471">
        <f t="shared" si="38"/>
        <v>0</v>
      </c>
      <c r="E409" s="515">
        <f t="shared" si="39"/>
        <v>0</v>
      </c>
      <c r="F409" s="515">
        <f t="shared" si="32"/>
        <v>0</v>
      </c>
      <c r="G409" s="471">
        <f t="shared" si="33"/>
        <v>0</v>
      </c>
      <c r="H409" s="509">
        <f>+J355*G409+E409</f>
        <v>0</v>
      </c>
      <c r="I409" s="516">
        <f>+J356*G409+E409</f>
        <v>0</v>
      </c>
      <c r="J409" s="512">
        <f t="shared" si="34"/>
        <v>0</v>
      </c>
      <c r="K409" s="512"/>
      <c r="L409" s="517"/>
      <c r="M409" s="512">
        <f t="shared" si="35"/>
        <v>0</v>
      </c>
      <c r="N409" s="517"/>
      <c r="O409" s="512">
        <f t="shared" si="36"/>
        <v>0</v>
      </c>
      <c r="P409" s="512">
        <f t="shared" si="37"/>
        <v>0</v>
      </c>
      <c r="Q409" s="473"/>
    </row>
    <row r="410" spans="3:17">
      <c r="C410" s="508">
        <f>IF(D354="","-",+C409+1)</f>
        <v>2064</v>
      </c>
      <c r="D410" s="471">
        <f t="shared" si="38"/>
        <v>0</v>
      </c>
      <c r="E410" s="515">
        <f t="shared" si="39"/>
        <v>0</v>
      </c>
      <c r="F410" s="515">
        <f t="shared" si="32"/>
        <v>0</v>
      </c>
      <c r="G410" s="471">
        <f t="shared" si="33"/>
        <v>0</v>
      </c>
      <c r="H410" s="509">
        <f>+J355*G410+E410</f>
        <v>0</v>
      </c>
      <c r="I410" s="516">
        <f>+J356*G410+E410</f>
        <v>0</v>
      </c>
      <c r="J410" s="512">
        <f t="shared" si="34"/>
        <v>0</v>
      </c>
      <c r="K410" s="512"/>
      <c r="L410" s="517"/>
      <c r="M410" s="512">
        <f t="shared" si="35"/>
        <v>0</v>
      </c>
      <c r="N410" s="517"/>
      <c r="O410" s="512">
        <f t="shared" si="36"/>
        <v>0</v>
      </c>
      <c r="P410" s="512">
        <f t="shared" si="37"/>
        <v>0</v>
      </c>
      <c r="Q410" s="473"/>
    </row>
    <row r="411" spans="3:17">
      <c r="C411" s="508">
        <f>IF(D354="","-",+C410+1)</f>
        <v>2065</v>
      </c>
      <c r="D411" s="471">
        <f t="shared" si="38"/>
        <v>0</v>
      </c>
      <c r="E411" s="515">
        <f t="shared" si="39"/>
        <v>0</v>
      </c>
      <c r="F411" s="515">
        <f t="shared" si="32"/>
        <v>0</v>
      </c>
      <c r="G411" s="471">
        <f t="shared" si="33"/>
        <v>0</v>
      </c>
      <c r="H411" s="509">
        <f>+J355*G411+E411</f>
        <v>0</v>
      </c>
      <c r="I411" s="516">
        <f>+J356*G411+E411</f>
        <v>0</v>
      </c>
      <c r="J411" s="512">
        <f t="shared" si="34"/>
        <v>0</v>
      </c>
      <c r="K411" s="512"/>
      <c r="L411" s="517"/>
      <c r="M411" s="512">
        <f t="shared" si="35"/>
        <v>0</v>
      </c>
      <c r="N411" s="517"/>
      <c r="O411" s="512">
        <f t="shared" si="36"/>
        <v>0</v>
      </c>
      <c r="P411" s="512">
        <f t="shared" si="37"/>
        <v>0</v>
      </c>
      <c r="Q411" s="473"/>
    </row>
    <row r="412" spans="3:17">
      <c r="C412" s="508">
        <f>IF(D354="","-",+C411+1)</f>
        <v>2066</v>
      </c>
      <c r="D412" s="471">
        <f t="shared" si="38"/>
        <v>0</v>
      </c>
      <c r="E412" s="515">
        <f t="shared" si="39"/>
        <v>0</v>
      </c>
      <c r="F412" s="515">
        <f t="shared" si="32"/>
        <v>0</v>
      </c>
      <c r="G412" s="471">
        <f t="shared" si="33"/>
        <v>0</v>
      </c>
      <c r="H412" s="509">
        <f>+J355*G412+E412</f>
        <v>0</v>
      </c>
      <c r="I412" s="516">
        <f>+J356*G412+E412</f>
        <v>0</v>
      </c>
      <c r="J412" s="512">
        <f t="shared" si="34"/>
        <v>0</v>
      </c>
      <c r="K412" s="512"/>
      <c r="L412" s="517"/>
      <c r="M412" s="512">
        <f t="shared" si="35"/>
        <v>0</v>
      </c>
      <c r="N412" s="517"/>
      <c r="O412" s="512">
        <f t="shared" si="36"/>
        <v>0</v>
      </c>
      <c r="P412" s="512">
        <f t="shared" si="37"/>
        <v>0</v>
      </c>
      <c r="Q412" s="473"/>
    </row>
    <row r="413" spans="3:17">
      <c r="C413" s="508">
        <f>IF(D354="","-",+C412+1)</f>
        <v>2067</v>
      </c>
      <c r="D413" s="471">
        <f t="shared" si="38"/>
        <v>0</v>
      </c>
      <c r="E413" s="515">
        <f t="shared" si="39"/>
        <v>0</v>
      </c>
      <c r="F413" s="515">
        <f t="shared" si="32"/>
        <v>0</v>
      </c>
      <c r="G413" s="471">
        <f t="shared" si="33"/>
        <v>0</v>
      </c>
      <c r="H413" s="509">
        <f>+J355*G413+E413</f>
        <v>0</v>
      </c>
      <c r="I413" s="516">
        <f>+J356*G413+E413</f>
        <v>0</v>
      </c>
      <c r="J413" s="512">
        <f t="shared" si="34"/>
        <v>0</v>
      </c>
      <c r="K413" s="512"/>
      <c r="L413" s="517"/>
      <c r="M413" s="512">
        <f t="shared" si="35"/>
        <v>0</v>
      </c>
      <c r="N413" s="517"/>
      <c r="O413" s="512">
        <f t="shared" si="36"/>
        <v>0</v>
      </c>
      <c r="P413" s="512">
        <f t="shared" si="37"/>
        <v>0</v>
      </c>
      <c r="Q413" s="473"/>
    </row>
    <row r="414" spans="3:17">
      <c r="C414" s="508">
        <f>IF(D354="","-",+C413+1)</f>
        <v>2068</v>
      </c>
      <c r="D414" s="471">
        <f t="shared" si="38"/>
        <v>0</v>
      </c>
      <c r="E414" s="515">
        <f t="shared" si="39"/>
        <v>0</v>
      </c>
      <c r="F414" s="515">
        <f t="shared" si="32"/>
        <v>0</v>
      </c>
      <c r="G414" s="471">
        <f t="shared" si="33"/>
        <v>0</v>
      </c>
      <c r="H414" s="509">
        <f>+J355*G414+E414</f>
        <v>0</v>
      </c>
      <c r="I414" s="516">
        <f>+J356*G414+E414</f>
        <v>0</v>
      </c>
      <c r="J414" s="512">
        <f t="shared" si="34"/>
        <v>0</v>
      </c>
      <c r="K414" s="512"/>
      <c r="L414" s="517"/>
      <c r="M414" s="512">
        <f t="shared" si="35"/>
        <v>0</v>
      </c>
      <c r="N414" s="517"/>
      <c r="O414" s="512">
        <f t="shared" si="36"/>
        <v>0</v>
      </c>
      <c r="P414" s="512">
        <f t="shared" si="37"/>
        <v>0</v>
      </c>
      <c r="Q414" s="473"/>
    </row>
    <row r="415" spans="3:17">
      <c r="C415" s="508">
        <f>IF(D354="","-",+C414+1)</f>
        <v>2069</v>
      </c>
      <c r="D415" s="471">
        <f t="shared" si="38"/>
        <v>0</v>
      </c>
      <c r="E415" s="515">
        <f t="shared" si="39"/>
        <v>0</v>
      </c>
      <c r="F415" s="515">
        <f t="shared" si="32"/>
        <v>0</v>
      </c>
      <c r="G415" s="471">
        <f t="shared" si="33"/>
        <v>0</v>
      </c>
      <c r="H415" s="509">
        <f>+J355*G415+E415</f>
        <v>0</v>
      </c>
      <c r="I415" s="516">
        <f>+J356*G415+E415</f>
        <v>0</v>
      </c>
      <c r="J415" s="512">
        <f t="shared" si="34"/>
        <v>0</v>
      </c>
      <c r="K415" s="512"/>
      <c r="L415" s="517"/>
      <c r="M415" s="512">
        <f t="shared" si="35"/>
        <v>0</v>
      </c>
      <c r="N415" s="517"/>
      <c r="O415" s="512">
        <f t="shared" si="36"/>
        <v>0</v>
      </c>
      <c r="P415" s="512">
        <f t="shared" si="37"/>
        <v>0</v>
      </c>
      <c r="Q415" s="473"/>
    </row>
    <row r="416" spans="3:17">
      <c r="C416" s="508">
        <f>IF(D354="","-",+C415+1)</f>
        <v>2070</v>
      </c>
      <c r="D416" s="471">
        <f t="shared" si="38"/>
        <v>0</v>
      </c>
      <c r="E416" s="515">
        <f t="shared" si="39"/>
        <v>0</v>
      </c>
      <c r="F416" s="515">
        <f t="shared" si="32"/>
        <v>0</v>
      </c>
      <c r="G416" s="471">
        <f t="shared" si="33"/>
        <v>0</v>
      </c>
      <c r="H416" s="509">
        <f>+J355*G416+E416</f>
        <v>0</v>
      </c>
      <c r="I416" s="516">
        <f>+J356*G416+E416</f>
        <v>0</v>
      </c>
      <c r="J416" s="512">
        <f t="shared" si="34"/>
        <v>0</v>
      </c>
      <c r="K416" s="512"/>
      <c r="L416" s="517"/>
      <c r="M416" s="512">
        <f t="shared" si="35"/>
        <v>0</v>
      </c>
      <c r="N416" s="517"/>
      <c r="O416" s="512">
        <f t="shared" si="36"/>
        <v>0</v>
      </c>
      <c r="P416" s="512">
        <f t="shared" si="37"/>
        <v>0</v>
      </c>
      <c r="Q416" s="473"/>
    </row>
    <row r="417" spans="1:17">
      <c r="C417" s="508">
        <f>IF(D354="","-",+C416+1)</f>
        <v>2071</v>
      </c>
      <c r="D417" s="471">
        <f t="shared" si="38"/>
        <v>0</v>
      </c>
      <c r="E417" s="515">
        <f t="shared" si="39"/>
        <v>0</v>
      </c>
      <c r="F417" s="515">
        <f t="shared" si="32"/>
        <v>0</v>
      </c>
      <c r="G417" s="471">
        <f t="shared" si="33"/>
        <v>0</v>
      </c>
      <c r="H417" s="509">
        <f>+J355*G417+E417</f>
        <v>0</v>
      </c>
      <c r="I417" s="516">
        <f>+J356*G417+E417</f>
        <v>0</v>
      </c>
      <c r="J417" s="512">
        <f t="shared" si="34"/>
        <v>0</v>
      </c>
      <c r="K417" s="512"/>
      <c r="L417" s="517"/>
      <c r="M417" s="512">
        <f t="shared" si="35"/>
        <v>0</v>
      </c>
      <c r="N417" s="517"/>
      <c r="O417" s="512">
        <f t="shared" si="36"/>
        <v>0</v>
      </c>
      <c r="P417" s="512">
        <f t="shared" si="37"/>
        <v>0</v>
      </c>
      <c r="Q417" s="473"/>
    </row>
    <row r="418" spans="1:17">
      <c r="C418" s="508">
        <f>IF(D354="","-",+C417+1)</f>
        <v>2072</v>
      </c>
      <c r="D418" s="471">
        <f t="shared" si="38"/>
        <v>0</v>
      </c>
      <c r="E418" s="515">
        <f t="shared" si="39"/>
        <v>0</v>
      </c>
      <c r="F418" s="515">
        <f t="shared" si="32"/>
        <v>0</v>
      </c>
      <c r="G418" s="471">
        <f t="shared" si="33"/>
        <v>0</v>
      </c>
      <c r="H418" s="509">
        <f>+J355*G418+E418</f>
        <v>0</v>
      </c>
      <c r="I418" s="516">
        <f>+J356*G418+E418</f>
        <v>0</v>
      </c>
      <c r="J418" s="512">
        <f t="shared" si="34"/>
        <v>0</v>
      </c>
      <c r="K418" s="512"/>
      <c r="L418" s="517"/>
      <c r="M418" s="512">
        <f t="shared" si="35"/>
        <v>0</v>
      </c>
      <c r="N418" s="517"/>
      <c r="O418" s="512">
        <f t="shared" si="36"/>
        <v>0</v>
      </c>
      <c r="P418" s="512">
        <f t="shared" si="37"/>
        <v>0</v>
      </c>
      <c r="Q418" s="473"/>
    </row>
    <row r="419" spans="1:17" ht="13.5" thickBot="1">
      <c r="C419" s="520">
        <f>IF(D354="","-",+C418+1)</f>
        <v>2073</v>
      </c>
      <c r="D419" s="521">
        <f t="shared" si="38"/>
        <v>0</v>
      </c>
      <c r="E419" s="522">
        <f t="shared" si="39"/>
        <v>0</v>
      </c>
      <c r="F419" s="522">
        <f t="shared" si="32"/>
        <v>0</v>
      </c>
      <c r="G419" s="521">
        <f t="shared" si="33"/>
        <v>0</v>
      </c>
      <c r="H419" s="523">
        <f>+J355*G419+E419</f>
        <v>0</v>
      </c>
      <c r="I419" s="523">
        <f>+J356*G419+E419</f>
        <v>0</v>
      </c>
      <c r="J419" s="524">
        <f t="shared" si="34"/>
        <v>0</v>
      </c>
      <c r="K419" s="512"/>
      <c r="L419" s="525"/>
      <c r="M419" s="524">
        <f t="shared" si="35"/>
        <v>0</v>
      </c>
      <c r="N419" s="525"/>
      <c r="O419" s="524">
        <f t="shared" si="36"/>
        <v>0</v>
      </c>
      <c r="P419" s="524">
        <f t="shared" si="37"/>
        <v>0</v>
      </c>
      <c r="Q419" s="473"/>
    </row>
    <row r="420" spans="1:17">
      <c r="C420" s="471" t="s">
        <v>288</v>
      </c>
      <c r="D420" s="469"/>
      <c r="E420" s="469">
        <f>SUM(E360:E419)</f>
        <v>2419909.98</v>
      </c>
      <c r="F420" s="469"/>
      <c r="G420" s="469"/>
      <c r="H420" s="469">
        <f>SUM(H360:H419)</f>
        <v>8285649.5914645633</v>
      </c>
      <c r="I420" s="469">
        <f>SUM(I360:I419)</f>
        <v>8285649.5914645633</v>
      </c>
      <c r="J420" s="469">
        <f>SUM(J360:J419)</f>
        <v>0</v>
      </c>
      <c r="K420" s="469"/>
      <c r="L420" s="469"/>
      <c r="M420" s="469"/>
      <c r="N420" s="469"/>
      <c r="O420" s="469"/>
      <c r="Q420" s="469"/>
    </row>
    <row r="421" spans="1:17">
      <c r="D421" s="78"/>
      <c r="E421" s="4"/>
      <c r="F421" s="4"/>
      <c r="G421" s="4"/>
      <c r="H421" s="4"/>
      <c r="I421" s="454"/>
      <c r="J421" s="454"/>
      <c r="K421" s="469"/>
      <c r="L421" s="454"/>
      <c r="M421" s="454"/>
      <c r="N421" s="454"/>
      <c r="O421" s="454"/>
      <c r="Q421" s="469"/>
    </row>
    <row r="422" spans="1:17">
      <c r="C422" s="4" t="s">
        <v>600</v>
      </c>
      <c r="D422" s="78"/>
      <c r="E422" s="4"/>
      <c r="F422" s="4"/>
      <c r="G422" s="4"/>
      <c r="H422" s="4"/>
      <c r="I422" s="454"/>
      <c r="J422" s="454"/>
      <c r="K422" s="469"/>
      <c r="L422" s="454"/>
      <c r="M422" s="454"/>
      <c r="N422" s="454"/>
      <c r="O422" s="454"/>
      <c r="Q422" s="469"/>
    </row>
    <row r="423" spans="1:17">
      <c r="D423" s="78"/>
      <c r="E423" s="4"/>
      <c r="F423" s="4"/>
      <c r="G423" s="4"/>
      <c r="H423" s="4"/>
      <c r="I423" s="454"/>
      <c r="J423" s="454"/>
      <c r="K423" s="469"/>
      <c r="L423" s="454"/>
      <c r="M423" s="454"/>
      <c r="N423" s="454"/>
      <c r="O423" s="454"/>
      <c r="Q423" s="469"/>
    </row>
    <row r="424" spans="1:17">
      <c r="C424" s="4" t="s">
        <v>601</v>
      </c>
      <c r="D424" s="471"/>
      <c r="E424" s="471"/>
      <c r="F424" s="471"/>
      <c r="G424" s="471"/>
      <c r="H424" s="469"/>
      <c r="I424" s="469"/>
      <c r="J424" s="473"/>
      <c r="K424" s="473"/>
      <c r="L424" s="473"/>
      <c r="M424" s="473"/>
      <c r="N424" s="473"/>
      <c r="O424" s="473"/>
      <c r="Q424" s="473"/>
    </row>
    <row r="425" spans="1:17">
      <c r="C425" s="4" t="s">
        <v>476</v>
      </c>
      <c r="D425" s="471"/>
      <c r="E425" s="471"/>
      <c r="F425" s="471"/>
      <c r="G425" s="471"/>
      <c r="H425" s="469"/>
      <c r="I425" s="469"/>
      <c r="J425" s="473"/>
      <c r="K425" s="473"/>
      <c r="L425" s="473"/>
      <c r="M425" s="473"/>
      <c r="N425" s="473"/>
      <c r="O425" s="473"/>
      <c r="Q425" s="473"/>
    </row>
    <row r="426" spans="1:17">
      <c r="C426" s="4" t="s">
        <v>289</v>
      </c>
      <c r="D426" s="471"/>
      <c r="E426" s="471"/>
      <c r="F426" s="471"/>
      <c r="G426" s="471"/>
      <c r="H426" s="469"/>
      <c r="I426" s="469"/>
      <c r="J426" s="473"/>
      <c r="K426" s="473"/>
      <c r="L426" s="473"/>
      <c r="M426" s="473"/>
      <c r="N426" s="473"/>
      <c r="O426" s="473"/>
      <c r="Q426" s="473"/>
    </row>
    <row r="427" spans="1:17" ht="20.25">
      <c r="A427" s="413" t="s">
        <v>767</v>
      </c>
      <c r="B427" s="4"/>
      <c r="C427" s="4"/>
      <c r="D427" s="78"/>
      <c r="E427" s="4"/>
      <c r="F427" s="80"/>
      <c r="G427" s="80"/>
      <c r="H427" s="4"/>
      <c r="I427" s="454"/>
      <c r="L427" s="11"/>
      <c r="M427" s="11"/>
      <c r="N427" s="11"/>
      <c r="O427" s="11" t="str">
        <f>"Page "&amp;SUM(Q$3:Q427)&amp;" of "</f>
        <v xml:space="preserve">Page 6 of </v>
      </c>
      <c r="P427" s="414">
        <f>COUNT(Q$8:Q$58123)</f>
        <v>16</v>
      </c>
      <c r="Q427" s="544">
        <v>1</v>
      </c>
    </row>
    <row r="428" spans="1:17">
      <c r="B428" s="4"/>
      <c r="C428" s="4"/>
      <c r="D428" s="78"/>
      <c r="E428" s="4"/>
      <c r="F428" s="4"/>
      <c r="G428" s="4"/>
      <c r="H428" s="4"/>
      <c r="I428" s="454"/>
      <c r="J428" s="4"/>
      <c r="K428" s="4"/>
    </row>
    <row r="429" spans="1:17" ht="18">
      <c r="B429" s="415" t="s">
        <v>174</v>
      </c>
      <c r="C429" s="474" t="s">
        <v>290</v>
      </c>
      <c r="D429" s="78"/>
      <c r="E429" s="4"/>
      <c r="F429" s="4"/>
      <c r="G429" s="4"/>
      <c r="H429" s="4"/>
      <c r="I429" s="454"/>
      <c r="J429" s="454"/>
      <c r="K429" s="469"/>
      <c r="L429" s="454"/>
      <c r="M429" s="454"/>
      <c r="N429" s="454"/>
      <c r="O429" s="454"/>
      <c r="Q429" s="469"/>
    </row>
    <row r="430" spans="1:17" ht="18.75">
      <c r="B430" s="415"/>
      <c r="C430" s="13"/>
      <c r="D430" s="78"/>
      <c r="E430" s="4"/>
      <c r="F430" s="4"/>
      <c r="G430" s="4"/>
      <c r="H430" s="4"/>
      <c r="I430" s="454"/>
      <c r="J430" s="454"/>
      <c r="K430" s="469"/>
      <c r="L430" s="454"/>
      <c r="M430" s="454"/>
      <c r="N430" s="454"/>
      <c r="O430" s="454"/>
      <c r="Q430" s="469"/>
    </row>
    <row r="431" spans="1:17" ht="18.75">
      <c r="B431" s="415"/>
      <c r="C431" s="13" t="s">
        <v>291</v>
      </c>
      <c r="D431" s="78"/>
      <c r="E431" s="4"/>
      <c r="F431" s="4"/>
      <c r="G431" s="4"/>
      <c r="H431" s="4"/>
      <c r="I431" s="454"/>
      <c r="J431" s="454"/>
      <c r="K431" s="469"/>
      <c r="L431" s="454"/>
      <c r="M431" s="454"/>
      <c r="N431" s="454"/>
      <c r="O431" s="454"/>
      <c r="Q431" s="469"/>
    </row>
    <row r="432" spans="1:17" ht="15.75" thickBot="1">
      <c r="C432" s="250"/>
      <c r="D432" s="78"/>
      <c r="E432" s="4"/>
      <c r="F432" s="4"/>
      <c r="G432" s="4"/>
      <c r="H432" s="4"/>
      <c r="I432" s="454"/>
      <c r="J432" s="454"/>
      <c r="K432" s="469"/>
      <c r="L432" s="454"/>
      <c r="M432" s="454"/>
      <c r="N432" s="454"/>
      <c r="O432" s="454"/>
      <c r="Q432" s="469"/>
    </row>
    <row r="433" spans="1:17" ht="15.75">
      <c r="C433" s="416" t="s">
        <v>292</v>
      </c>
      <c r="D433" s="78"/>
      <c r="E433" s="4"/>
      <c r="F433" s="4"/>
      <c r="G433" s="4"/>
      <c r="H433" s="642"/>
      <c r="I433" s="4" t="s">
        <v>271</v>
      </c>
      <c r="J433" s="4"/>
      <c r="K433" s="4"/>
      <c r="L433" s="545">
        <f>+J439</f>
        <v>2025</v>
      </c>
      <c r="M433" s="529" t="s">
        <v>254</v>
      </c>
      <c r="N433" s="529" t="s">
        <v>255</v>
      </c>
      <c r="O433" s="530" t="s">
        <v>256</v>
      </c>
    </row>
    <row r="434" spans="1:17" ht="15.75">
      <c r="C434" s="416"/>
      <c r="D434" s="78"/>
      <c r="E434" s="4"/>
      <c r="F434" s="4"/>
      <c r="H434" s="4"/>
      <c r="I434" s="478"/>
      <c r="J434" s="478"/>
      <c r="K434" s="479"/>
      <c r="L434" s="546" t="s">
        <v>455</v>
      </c>
      <c r="M434" s="547">
        <f>VLOOKUP(J439,C446:P505,10)</f>
        <v>1632123.8775575701</v>
      </c>
      <c r="N434" s="547">
        <f>VLOOKUP(J439,C446:P505,12)</f>
        <v>1632123.8775575701</v>
      </c>
      <c r="O434" s="548">
        <f>+N434-M434</f>
        <v>0</v>
      </c>
      <c r="Q434" s="479"/>
    </row>
    <row r="435" spans="1:17">
      <c r="C435" s="481" t="s">
        <v>293</v>
      </c>
      <c r="D435" s="1304" t="s">
        <v>933</v>
      </c>
      <c r="E435" s="1304"/>
      <c r="F435" s="1304"/>
      <c r="G435" s="1304"/>
      <c r="H435" s="1304"/>
      <c r="I435" s="454"/>
      <c r="J435" s="454"/>
      <c r="K435" s="469"/>
      <c r="L435" s="546" t="s">
        <v>456</v>
      </c>
      <c r="M435" s="549">
        <f>VLOOKUP(J439,C446:P505,6)</f>
        <v>1630714.8740425378</v>
      </c>
      <c r="N435" s="549">
        <f>VLOOKUP(J439,C446:P505,7)</f>
        <v>1630714.8740425378</v>
      </c>
      <c r="O435" s="550">
        <f>+N435-M435</f>
        <v>0</v>
      </c>
      <c r="Q435" s="469"/>
    </row>
    <row r="436" spans="1:17" ht="13.5" thickBot="1">
      <c r="C436" s="483"/>
      <c r="D436" s="484"/>
      <c r="E436" s="471"/>
      <c r="F436" s="471"/>
      <c r="G436" s="471"/>
      <c r="H436" s="485"/>
      <c r="I436" s="454"/>
      <c r="J436" s="454"/>
      <c r="K436" s="469"/>
      <c r="L436" s="495" t="s">
        <v>457</v>
      </c>
      <c r="M436" s="551">
        <f>+M435-M434</f>
        <v>-1409.0035150323529</v>
      </c>
      <c r="N436" s="551">
        <f>+N435-N434</f>
        <v>-1409.0035150323529</v>
      </c>
      <c r="O436" s="552">
        <f>+O435-O434</f>
        <v>0</v>
      </c>
      <c r="Q436" s="469"/>
    </row>
    <row r="437" spans="1:17" ht="13.5" thickBot="1">
      <c r="C437" s="483"/>
      <c r="D437" s="4"/>
      <c r="E437" s="485"/>
      <c r="F437" s="485"/>
      <c r="G437" s="485"/>
      <c r="H437" s="485"/>
      <c r="I437" s="485"/>
      <c r="J437" s="485"/>
      <c r="K437" s="485"/>
      <c r="L437" s="485"/>
      <c r="M437" s="485"/>
      <c r="N437" s="485"/>
      <c r="O437" s="485"/>
      <c r="Q437" s="485"/>
    </row>
    <row r="438" spans="1:17" ht="13.5" thickBot="1">
      <c r="C438" s="487" t="s">
        <v>294</v>
      </c>
      <c r="D438" s="488"/>
      <c r="E438" s="488"/>
      <c r="F438" s="488"/>
      <c r="G438" s="488"/>
      <c r="H438" s="488"/>
      <c r="I438" s="488"/>
      <c r="J438" s="488"/>
      <c r="Q438"/>
    </row>
    <row r="439" spans="1:17" ht="15">
      <c r="A439" s="486"/>
      <c r="C439" s="490" t="s">
        <v>272</v>
      </c>
      <c r="D439" s="941">
        <v>15164190.770000001</v>
      </c>
      <c r="E439" s="4" t="s">
        <v>273</v>
      </c>
      <c r="H439" s="78"/>
      <c r="I439" s="78"/>
      <c r="J439" s="491">
        <f>$J$95</f>
        <v>2025</v>
      </c>
      <c r="K439" s="134"/>
      <c r="L439" s="1305" t="s">
        <v>274</v>
      </c>
      <c r="M439" s="1305"/>
      <c r="N439" s="1305"/>
      <c r="O439" s="1305"/>
      <c r="Q439" s="134"/>
    </row>
    <row r="440" spans="1:17">
      <c r="A440" s="486"/>
      <c r="C440" s="490" t="s">
        <v>275</v>
      </c>
      <c r="D440" s="644">
        <v>2015</v>
      </c>
      <c r="E440" s="490" t="s">
        <v>276</v>
      </c>
      <c r="F440" s="78"/>
      <c r="G440" s="78"/>
      <c r="I440"/>
      <c r="J440" s="647">
        <v>0</v>
      </c>
      <c r="K440" s="492"/>
      <c r="L440" s="469" t="s">
        <v>475</v>
      </c>
      <c r="Q440" s="492"/>
    </row>
    <row r="441" spans="1:17">
      <c r="A441" s="486"/>
      <c r="C441" s="490" t="s">
        <v>277</v>
      </c>
      <c r="D441" s="942">
        <v>5</v>
      </c>
      <c r="E441" s="490" t="s">
        <v>278</v>
      </c>
      <c r="F441" s="78"/>
      <c r="G441" s="78"/>
      <c r="I441"/>
      <c r="J441" s="493">
        <f>$F$70</f>
        <v>0.11017952320434825</v>
      </c>
      <c r="K441" s="80"/>
      <c r="L441" s="4" t="str">
        <f>"          INPUT TRUE-UP ARR (WITH &amp; WITHOUT INCENTIVES) FROM EACH PRIOR YEAR"</f>
        <v xml:space="preserve">          INPUT TRUE-UP ARR (WITH &amp; WITHOUT INCENTIVES) FROM EACH PRIOR YEAR</v>
      </c>
      <c r="Q441" s="80"/>
    </row>
    <row r="442" spans="1:17">
      <c r="A442" s="486"/>
      <c r="C442" s="490" t="s">
        <v>279</v>
      </c>
      <c r="D442" s="494">
        <f>H79</f>
        <v>42</v>
      </c>
      <c r="E442" s="490" t="s">
        <v>280</v>
      </c>
      <c r="F442" s="78"/>
      <c r="G442" s="78"/>
      <c r="I442"/>
      <c r="J442" s="493">
        <f>IF(H433="",J441,$F$69)</f>
        <v>0.11017952320434825</v>
      </c>
      <c r="K442" s="80"/>
      <c r="L442" s="4" t="s">
        <v>362</v>
      </c>
      <c r="M442" s="80"/>
      <c r="N442" s="80"/>
      <c r="O442" s="80"/>
      <c r="Q442" s="80"/>
    </row>
    <row r="443" spans="1:17" ht="13.5" thickBot="1">
      <c r="A443" s="486"/>
      <c r="C443" s="490" t="s">
        <v>281</v>
      </c>
      <c r="D443" s="646" t="s">
        <v>929</v>
      </c>
      <c r="E443" s="495" t="s">
        <v>282</v>
      </c>
      <c r="F443" s="496"/>
      <c r="G443" s="496"/>
      <c r="H443" s="497"/>
      <c r="I443" s="497"/>
      <c r="J443" s="482">
        <f>IF(D439=0,0,D439/D442)</f>
        <v>361052.16119047621</v>
      </c>
      <c r="K443" s="469"/>
      <c r="L443" s="469" t="s">
        <v>363</v>
      </c>
      <c r="M443" s="469"/>
      <c r="N443" s="469"/>
      <c r="O443" s="469"/>
      <c r="Q443" s="469"/>
    </row>
    <row r="444" spans="1:17" ht="38.25">
      <c r="A444" s="12"/>
      <c r="B444" s="12"/>
      <c r="C444" s="498" t="s">
        <v>272</v>
      </c>
      <c r="D444" s="499" t="s">
        <v>283</v>
      </c>
      <c r="E444" s="500" t="s">
        <v>284</v>
      </c>
      <c r="F444" s="499" t="s">
        <v>285</v>
      </c>
      <c r="G444" s="499" t="s">
        <v>458</v>
      </c>
      <c r="H444" s="500" t="s">
        <v>356</v>
      </c>
      <c r="I444" s="501" t="s">
        <v>356</v>
      </c>
      <c r="J444" s="498" t="s">
        <v>295</v>
      </c>
      <c r="K444" s="502"/>
      <c r="L444" s="500" t="s">
        <v>358</v>
      </c>
      <c r="M444" s="500" t="s">
        <v>364</v>
      </c>
      <c r="N444" s="500" t="s">
        <v>358</v>
      </c>
      <c r="O444" s="500" t="s">
        <v>366</v>
      </c>
      <c r="P444" s="500" t="s">
        <v>286</v>
      </c>
      <c r="Q444" s="127"/>
    </row>
    <row r="445" spans="1:17" ht="13.5" thickBot="1">
      <c r="C445" s="503" t="s">
        <v>177</v>
      </c>
      <c r="D445" s="504" t="s">
        <v>178</v>
      </c>
      <c r="E445" s="503" t="s">
        <v>37</v>
      </c>
      <c r="F445" s="504" t="s">
        <v>178</v>
      </c>
      <c r="G445" s="504" t="s">
        <v>178</v>
      </c>
      <c r="H445" s="505" t="s">
        <v>298</v>
      </c>
      <c r="I445" s="506" t="s">
        <v>300</v>
      </c>
      <c r="J445" s="503" t="s">
        <v>389</v>
      </c>
      <c r="K445" s="507"/>
      <c r="L445" s="505" t="s">
        <v>287</v>
      </c>
      <c r="M445" s="505" t="s">
        <v>287</v>
      </c>
      <c r="N445" s="505" t="s">
        <v>467</v>
      </c>
      <c r="O445" s="505" t="s">
        <v>467</v>
      </c>
      <c r="P445" s="505" t="s">
        <v>467</v>
      </c>
      <c r="Q445" s="134"/>
    </row>
    <row r="446" spans="1:17">
      <c r="C446" s="508">
        <f>IF(D440= "","-",D440)</f>
        <v>2015</v>
      </c>
      <c r="D446" s="471">
        <f>+D439</f>
        <v>15164190.770000001</v>
      </c>
      <c r="E446" s="509">
        <f>+J443/12*(12-D441)</f>
        <v>210613.76069444447</v>
      </c>
      <c r="F446" s="553">
        <f t="shared" ref="F446:F505" si="40">+D446-E446</f>
        <v>14953577.009305557</v>
      </c>
      <c r="G446" s="471">
        <f t="shared" ref="G446:G505" si="41">+(D446+F446)/2</f>
        <v>15058883.889652779</v>
      </c>
      <c r="H446" s="510">
        <f>+J441*G446+E446</f>
        <v>1869794.4076460288</v>
      </c>
      <c r="I446" s="511">
        <f>+J442*G446+E446</f>
        <v>1869794.4076460288</v>
      </c>
      <c r="J446" s="512">
        <f t="shared" ref="J446:J505" si="42">+I446-H446</f>
        <v>0</v>
      </c>
      <c r="K446" s="512"/>
      <c r="L446" s="513">
        <v>2647738</v>
      </c>
      <c r="M446" s="554">
        <f t="shared" ref="M446:M505" si="43">IF(L446&lt;&gt;0,+H446-L446,0)</f>
        <v>-777943.59235397121</v>
      </c>
      <c r="N446" s="513">
        <v>2647738</v>
      </c>
      <c r="O446" s="554">
        <f t="shared" ref="O446:O505" si="44">IF(N446&lt;&gt;0,+I446-N446,0)</f>
        <v>-777943.59235397121</v>
      </c>
      <c r="P446" s="554">
        <f t="shared" ref="P446:P505" si="45">+O446-M446</f>
        <v>0</v>
      </c>
      <c r="Q446" s="473"/>
    </row>
    <row r="447" spans="1:17">
      <c r="C447" s="508">
        <f>IF(D440="","-",+C446+1)</f>
        <v>2016</v>
      </c>
      <c r="D447" s="471">
        <f t="shared" ref="D447:D505" si="46">F446</f>
        <v>14953577.009305557</v>
      </c>
      <c r="E447" s="515">
        <f>IF(D447&gt;$J$443,$J$443,D447)</f>
        <v>361052.16119047621</v>
      </c>
      <c r="F447" s="515">
        <f t="shared" si="40"/>
        <v>14592524.848115081</v>
      </c>
      <c r="G447" s="471">
        <f t="shared" si="41"/>
        <v>14773050.928710319</v>
      </c>
      <c r="H447" s="509">
        <f>+J441*G447+E447</f>
        <v>1988739.8687893334</v>
      </c>
      <c r="I447" s="516">
        <f>+J442*G447+E447</f>
        <v>1988739.8687893334</v>
      </c>
      <c r="J447" s="512">
        <f t="shared" si="42"/>
        <v>0</v>
      </c>
      <c r="K447" s="512"/>
      <c r="L447" s="517">
        <v>2089493</v>
      </c>
      <c r="M447" s="512">
        <f t="shared" si="43"/>
        <v>-100753.13121066662</v>
      </c>
      <c r="N447" s="517">
        <v>2089493</v>
      </c>
      <c r="O447" s="512">
        <f t="shared" si="44"/>
        <v>-100753.13121066662</v>
      </c>
      <c r="P447" s="512">
        <f t="shared" si="45"/>
        <v>0</v>
      </c>
      <c r="Q447" s="473"/>
    </row>
    <row r="448" spans="1:17">
      <c r="C448" s="508">
        <f>IF(D440="","-",+C447+1)</f>
        <v>2017</v>
      </c>
      <c r="D448" s="471">
        <f t="shared" si="46"/>
        <v>14592524.848115081</v>
      </c>
      <c r="E448" s="515">
        <f t="shared" ref="E448:E505" si="47">IF(D448&gt;$J$443,$J$443,D448)</f>
        <v>361052.16119047621</v>
      </c>
      <c r="F448" s="515">
        <f t="shared" si="40"/>
        <v>14231472.686924605</v>
      </c>
      <c r="G448" s="471">
        <f t="shared" si="41"/>
        <v>14411998.767519843</v>
      </c>
      <c r="H448" s="509">
        <f>+J441*G448+E448</f>
        <v>1948959.3138174671</v>
      </c>
      <c r="I448" s="516">
        <f>+J442*G448+E448</f>
        <v>1948959.3138174671</v>
      </c>
      <c r="J448" s="512">
        <f t="shared" si="42"/>
        <v>0</v>
      </c>
      <c r="K448" s="512"/>
      <c r="L448" s="517">
        <v>2125650</v>
      </c>
      <c r="M448" s="512">
        <f t="shared" si="43"/>
        <v>-176690.68618253293</v>
      </c>
      <c r="N448" s="517">
        <v>2125650</v>
      </c>
      <c r="O448" s="512">
        <f t="shared" si="44"/>
        <v>-176690.68618253293</v>
      </c>
      <c r="P448" s="512">
        <f t="shared" si="45"/>
        <v>0</v>
      </c>
      <c r="Q448" s="473"/>
    </row>
    <row r="449" spans="3:17">
      <c r="C449" s="508">
        <f>IF(D440="","-",+C448+1)</f>
        <v>2018</v>
      </c>
      <c r="D449" s="471">
        <f t="shared" si="46"/>
        <v>14231472.686924605</v>
      </c>
      <c r="E449" s="515">
        <f t="shared" si="47"/>
        <v>361052.16119047621</v>
      </c>
      <c r="F449" s="515">
        <f t="shared" si="40"/>
        <v>13870420.525734128</v>
      </c>
      <c r="G449" s="471">
        <f t="shared" si="41"/>
        <v>14050946.606329367</v>
      </c>
      <c r="H449" s="509">
        <f>+J441*G449+E449</f>
        <v>1909178.758845601</v>
      </c>
      <c r="I449" s="516">
        <f>+J442*G449+E449</f>
        <v>1909178.758845601</v>
      </c>
      <c r="J449" s="512">
        <f t="shared" si="42"/>
        <v>0</v>
      </c>
      <c r="K449" s="512"/>
      <c r="L449" s="517">
        <v>1845050</v>
      </c>
      <c r="M449" s="512">
        <f t="shared" si="43"/>
        <v>64128.758845600998</v>
      </c>
      <c r="N449" s="517">
        <v>1845050</v>
      </c>
      <c r="O449" s="512">
        <f t="shared" si="44"/>
        <v>64128.758845600998</v>
      </c>
      <c r="P449" s="512">
        <f t="shared" si="45"/>
        <v>0</v>
      </c>
      <c r="Q449" s="473"/>
    </row>
    <row r="450" spans="3:17">
      <c r="C450" s="508">
        <f>IF(D440="","-",+C449+1)</f>
        <v>2019</v>
      </c>
      <c r="D450" s="955">
        <f t="shared" si="46"/>
        <v>13870420.525734128</v>
      </c>
      <c r="E450" s="515">
        <f t="shared" si="47"/>
        <v>361052.16119047621</v>
      </c>
      <c r="F450" s="515">
        <f t="shared" si="40"/>
        <v>13509368.364543652</v>
      </c>
      <c r="G450" s="471">
        <f t="shared" si="41"/>
        <v>13689894.44513889</v>
      </c>
      <c r="H450" s="509">
        <f>+J441*G450+E450</f>
        <v>1869398.2038737349</v>
      </c>
      <c r="I450" s="516">
        <f>+J442*G450+E450</f>
        <v>1869398.2038737349</v>
      </c>
      <c r="J450" s="512">
        <f t="shared" si="42"/>
        <v>0</v>
      </c>
      <c r="K450" s="512"/>
      <c r="L450" s="517">
        <v>1803485</v>
      </c>
      <c r="M450" s="512">
        <f t="shared" si="43"/>
        <v>65913.203873734921</v>
      </c>
      <c r="N450" s="517">
        <v>1803485</v>
      </c>
      <c r="O450" s="512">
        <f t="shared" si="44"/>
        <v>65913.203873734921</v>
      </c>
      <c r="P450" s="512">
        <f t="shared" si="45"/>
        <v>0</v>
      </c>
      <c r="Q450" s="473"/>
    </row>
    <row r="451" spans="3:17">
      <c r="C451" s="508">
        <f>IF(D440="","-",+C450+1)</f>
        <v>2020</v>
      </c>
      <c r="D451" s="471">
        <f t="shared" si="46"/>
        <v>13509368.364543652</v>
      </c>
      <c r="E451" s="515">
        <f t="shared" si="47"/>
        <v>361052.16119047621</v>
      </c>
      <c r="F451" s="515">
        <f t="shared" si="40"/>
        <v>13148316.203353176</v>
      </c>
      <c r="G451" s="471">
        <f t="shared" si="41"/>
        <v>13328842.283948414</v>
      </c>
      <c r="H451" s="509">
        <f>+J441*G451+E451</f>
        <v>1829617.6489018686</v>
      </c>
      <c r="I451" s="516">
        <f>+J442*G451+E451</f>
        <v>1829617.6489018686</v>
      </c>
      <c r="J451" s="512">
        <f t="shared" si="42"/>
        <v>0</v>
      </c>
      <c r="K451" s="512"/>
      <c r="L451" s="517">
        <v>1715890.5772976056</v>
      </c>
      <c r="M451" s="512">
        <f t="shared" si="43"/>
        <v>113727.07160426304</v>
      </c>
      <c r="N451" s="517">
        <v>1715890.5772976056</v>
      </c>
      <c r="O451" s="512">
        <f t="shared" si="44"/>
        <v>113727.07160426304</v>
      </c>
      <c r="P451" s="512">
        <f t="shared" si="45"/>
        <v>0</v>
      </c>
      <c r="Q451" s="473"/>
    </row>
    <row r="452" spans="3:17">
      <c r="C452" s="508">
        <f>IF(D440="","-",+C451+1)</f>
        <v>2021</v>
      </c>
      <c r="D452" s="471">
        <f t="shared" si="46"/>
        <v>13148316.203353176</v>
      </c>
      <c r="E452" s="515">
        <f t="shared" si="47"/>
        <v>361052.16119047621</v>
      </c>
      <c r="F452" s="515">
        <f t="shared" si="40"/>
        <v>12787264.0421627</v>
      </c>
      <c r="G452" s="471">
        <f t="shared" si="41"/>
        <v>12967790.122757938</v>
      </c>
      <c r="H452" s="509">
        <f>+J441*G452+E452</f>
        <v>1789837.0939300025</v>
      </c>
      <c r="I452" s="516">
        <f>+J442*G452+E452</f>
        <v>1789837.0939300025</v>
      </c>
      <c r="J452" s="512">
        <f t="shared" si="42"/>
        <v>0</v>
      </c>
      <c r="K452" s="512"/>
      <c r="L452" s="517">
        <v>1689921.8144229958</v>
      </c>
      <c r="M452" s="512">
        <f t="shared" si="43"/>
        <v>99915.279507006751</v>
      </c>
      <c r="N452" s="517">
        <v>1689921.8144229958</v>
      </c>
      <c r="O452" s="512">
        <f t="shared" si="44"/>
        <v>99915.279507006751</v>
      </c>
      <c r="P452" s="512">
        <f t="shared" si="45"/>
        <v>0</v>
      </c>
      <c r="Q452" s="473"/>
    </row>
    <row r="453" spans="3:17">
      <c r="C453" s="508">
        <f>IF(D440="","-",+C452+1)</f>
        <v>2022</v>
      </c>
      <c r="D453" s="471">
        <f t="shared" si="46"/>
        <v>12787264.0421627</v>
      </c>
      <c r="E453" s="515">
        <f t="shared" si="47"/>
        <v>361052.16119047621</v>
      </c>
      <c r="F453" s="515">
        <f t="shared" si="40"/>
        <v>12426211.880972223</v>
      </c>
      <c r="G453" s="471">
        <f t="shared" si="41"/>
        <v>12606737.961567461</v>
      </c>
      <c r="H453" s="509">
        <f>+J441*G453+E453</f>
        <v>1750056.5389581362</v>
      </c>
      <c r="I453" s="516">
        <f>+J442*G453+E453</f>
        <v>1750056.5389581362</v>
      </c>
      <c r="J453" s="512">
        <f t="shared" si="42"/>
        <v>0</v>
      </c>
      <c r="K453" s="512"/>
      <c r="L453" s="517">
        <v>1668337.4641950356</v>
      </c>
      <c r="M453" s="512">
        <f t="shared" si="43"/>
        <v>81719.074763100594</v>
      </c>
      <c r="N453" s="517">
        <v>1668337.4641950356</v>
      </c>
      <c r="O453" s="512">
        <f t="shared" si="44"/>
        <v>81719.074763100594</v>
      </c>
      <c r="P453" s="512">
        <f t="shared" si="45"/>
        <v>0</v>
      </c>
      <c r="Q453" s="473"/>
    </row>
    <row r="454" spans="3:17">
      <c r="C454" s="508">
        <f>IF(D440="","-",+C453+1)</f>
        <v>2023</v>
      </c>
      <c r="D454" s="471">
        <f t="shared" si="46"/>
        <v>12426211.880972223</v>
      </c>
      <c r="E454" s="515">
        <f t="shared" si="47"/>
        <v>361052.16119047621</v>
      </c>
      <c r="F454" s="515">
        <f t="shared" si="40"/>
        <v>12065159.719781747</v>
      </c>
      <c r="G454" s="471">
        <f t="shared" si="41"/>
        <v>12245685.800376985</v>
      </c>
      <c r="H454" s="509">
        <f>+J441*G454+E454</f>
        <v>1710275.9839862701</v>
      </c>
      <c r="I454" s="516">
        <f>+J442*G454+E454</f>
        <v>1710275.9839862701</v>
      </c>
      <c r="J454" s="512">
        <f t="shared" si="42"/>
        <v>0</v>
      </c>
      <c r="K454" s="512"/>
      <c r="L454" s="517">
        <v>1719761.0780092617</v>
      </c>
      <c r="M454" s="512">
        <f t="shared" si="43"/>
        <v>-9485.0940229916014</v>
      </c>
      <c r="N454" s="517">
        <v>1719761.0780092617</v>
      </c>
      <c r="O454" s="512">
        <f t="shared" si="44"/>
        <v>-9485.0940229916014</v>
      </c>
      <c r="P454" s="512">
        <f t="shared" si="45"/>
        <v>0</v>
      </c>
      <c r="Q454" s="473"/>
    </row>
    <row r="455" spans="3:17">
      <c r="C455" s="508">
        <f>IF(D440="","-",+C454+1)</f>
        <v>2024</v>
      </c>
      <c r="D455" s="471">
        <f t="shared" si="46"/>
        <v>12065159.719781747</v>
      </c>
      <c r="E455" s="515">
        <f t="shared" si="47"/>
        <v>361052.16119047621</v>
      </c>
      <c r="F455" s="515">
        <f t="shared" si="40"/>
        <v>11704107.558591271</v>
      </c>
      <c r="G455" s="471">
        <f t="shared" si="41"/>
        <v>11884633.639186509</v>
      </c>
      <c r="H455" s="509">
        <f>+J441*G455+E455</f>
        <v>1670495.4290144041</v>
      </c>
      <c r="I455" s="516">
        <f>+J442*G455+E455</f>
        <v>1670495.4290144041</v>
      </c>
      <c r="J455" s="512">
        <f t="shared" si="42"/>
        <v>0</v>
      </c>
      <c r="K455" s="512"/>
      <c r="L455" s="517">
        <v>1666854.8754347814</v>
      </c>
      <c r="M455" s="512">
        <f t="shared" si="43"/>
        <v>3640.5535796226468</v>
      </c>
      <c r="N455" s="517">
        <v>1666854.8754347814</v>
      </c>
      <c r="O455" s="512">
        <f t="shared" si="44"/>
        <v>3640.5535796226468</v>
      </c>
      <c r="P455" s="512">
        <f t="shared" si="45"/>
        <v>0</v>
      </c>
      <c r="Q455" s="473"/>
    </row>
    <row r="456" spans="3:17">
      <c r="C456" s="508">
        <f>IF(D440="","-",+C455+1)</f>
        <v>2025</v>
      </c>
      <c r="D456" s="471">
        <f t="shared" si="46"/>
        <v>11704107.558591271</v>
      </c>
      <c r="E456" s="515">
        <f t="shared" si="47"/>
        <v>361052.16119047621</v>
      </c>
      <c r="F456" s="515">
        <f t="shared" si="40"/>
        <v>11343055.397400795</v>
      </c>
      <c r="G456" s="471">
        <f t="shared" si="41"/>
        <v>11523581.477996033</v>
      </c>
      <c r="H456" s="509">
        <f>+J441*G456+E456</f>
        <v>1630714.8740425378</v>
      </c>
      <c r="I456" s="516">
        <f>+J442*G456+E456</f>
        <v>1630714.8740425378</v>
      </c>
      <c r="J456" s="512">
        <f t="shared" si="42"/>
        <v>0</v>
      </c>
      <c r="K456" s="512"/>
      <c r="L456" s="517">
        <v>1632123.8775575701</v>
      </c>
      <c r="M456" s="512">
        <f t="shared" si="43"/>
        <v>-1409.0035150323529</v>
      </c>
      <c r="N456" s="517">
        <v>1632123.8775575701</v>
      </c>
      <c r="O456" s="512">
        <f t="shared" si="44"/>
        <v>-1409.0035150323529</v>
      </c>
      <c r="P456" s="512">
        <f t="shared" si="45"/>
        <v>0</v>
      </c>
      <c r="Q456" s="473"/>
    </row>
    <row r="457" spans="3:17">
      <c r="C457" s="508">
        <f>IF(D440="","-",+C456+1)</f>
        <v>2026</v>
      </c>
      <c r="D457" s="471">
        <f t="shared" si="46"/>
        <v>11343055.397400795</v>
      </c>
      <c r="E457" s="515">
        <f t="shared" si="47"/>
        <v>361052.16119047621</v>
      </c>
      <c r="F457" s="515">
        <f t="shared" si="40"/>
        <v>10982003.236210318</v>
      </c>
      <c r="G457" s="471">
        <f t="shared" si="41"/>
        <v>11162529.316805556</v>
      </c>
      <c r="H457" s="509">
        <f>+J441*G457+E457</f>
        <v>1590934.3190706717</v>
      </c>
      <c r="I457" s="516">
        <f>+J442*G457+E457</f>
        <v>1590934.3190706717</v>
      </c>
      <c r="J457" s="512">
        <f t="shared" si="42"/>
        <v>0</v>
      </c>
      <c r="K457" s="512"/>
      <c r="L457" s="517"/>
      <c r="M457" s="512">
        <f t="shared" si="43"/>
        <v>0</v>
      </c>
      <c r="N457" s="517"/>
      <c r="O457" s="512">
        <f t="shared" si="44"/>
        <v>0</v>
      </c>
      <c r="P457" s="512">
        <f t="shared" si="45"/>
        <v>0</v>
      </c>
      <c r="Q457" s="473"/>
    </row>
    <row r="458" spans="3:17">
      <c r="C458" s="508">
        <f>IF(D440="","-",+C457+1)</f>
        <v>2027</v>
      </c>
      <c r="D458" s="471">
        <f t="shared" si="46"/>
        <v>10982003.236210318</v>
      </c>
      <c r="E458" s="515">
        <f t="shared" si="47"/>
        <v>361052.16119047621</v>
      </c>
      <c r="F458" s="515">
        <f t="shared" si="40"/>
        <v>10620951.075019842</v>
      </c>
      <c r="G458" s="471">
        <f t="shared" si="41"/>
        <v>10801477.15561508</v>
      </c>
      <c r="H458" s="509">
        <f>+J441*G458+E458</f>
        <v>1551153.7640988056</v>
      </c>
      <c r="I458" s="516">
        <f>+J442*G458+E458</f>
        <v>1551153.7640988056</v>
      </c>
      <c r="J458" s="512">
        <f t="shared" si="42"/>
        <v>0</v>
      </c>
      <c r="K458" s="512"/>
      <c r="L458" s="517"/>
      <c r="M458" s="512">
        <f t="shared" si="43"/>
        <v>0</v>
      </c>
      <c r="N458" s="517"/>
      <c r="O458" s="512">
        <f t="shared" si="44"/>
        <v>0</v>
      </c>
      <c r="P458" s="512">
        <f t="shared" si="45"/>
        <v>0</v>
      </c>
      <c r="Q458" s="473"/>
    </row>
    <row r="459" spans="3:17">
      <c r="C459" s="508">
        <f>IF(D440="","-",+C458+1)</f>
        <v>2028</v>
      </c>
      <c r="D459" s="471">
        <f t="shared" si="46"/>
        <v>10620951.075019842</v>
      </c>
      <c r="E459" s="515">
        <f t="shared" si="47"/>
        <v>361052.16119047621</v>
      </c>
      <c r="F459" s="515">
        <f t="shared" si="40"/>
        <v>10259898.913829366</v>
      </c>
      <c r="G459" s="471">
        <f t="shared" si="41"/>
        <v>10440424.994424604</v>
      </c>
      <c r="H459" s="509">
        <f>+J441*G459+E459</f>
        <v>1511373.2091269393</v>
      </c>
      <c r="I459" s="516">
        <f>+J442*G459+E459</f>
        <v>1511373.2091269393</v>
      </c>
      <c r="J459" s="512">
        <f t="shared" si="42"/>
        <v>0</v>
      </c>
      <c r="K459" s="512"/>
      <c r="L459" s="517"/>
      <c r="M459" s="512">
        <f t="shared" si="43"/>
        <v>0</v>
      </c>
      <c r="N459" s="517"/>
      <c r="O459" s="512">
        <f t="shared" si="44"/>
        <v>0</v>
      </c>
      <c r="P459" s="512">
        <f t="shared" si="45"/>
        <v>0</v>
      </c>
      <c r="Q459" s="473"/>
    </row>
    <row r="460" spans="3:17">
      <c r="C460" s="508">
        <f>IF(D440="","-",+C459+1)</f>
        <v>2029</v>
      </c>
      <c r="D460" s="471">
        <f t="shared" si="46"/>
        <v>10259898.913829366</v>
      </c>
      <c r="E460" s="515">
        <f t="shared" si="47"/>
        <v>361052.16119047621</v>
      </c>
      <c r="F460" s="515">
        <f t="shared" si="40"/>
        <v>9898846.7526388895</v>
      </c>
      <c r="G460" s="471">
        <f t="shared" si="41"/>
        <v>10079372.833234128</v>
      </c>
      <c r="H460" s="509">
        <f>+J441*G460+E460</f>
        <v>1471592.6541550732</v>
      </c>
      <c r="I460" s="516">
        <f>+J442*G460+E460</f>
        <v>1471592.6541550732</v>
      </c>
      <c r="J460" s="512">
        <f t="shared" si="42"/>
        <v>0</v>
      </c>
      <c r="K460" s="512"/>
      <c r="L460" s="517"/>
      <c r="M460" s="512">
        <f t="shared" si="43"/>
        <v>0</v>
      </c>
      <c r="N460" s="517"/>
      <c r="O460" s="512">
        <f t="shared" si="44"/>
        <v>0</v>
      </c>
      <c r="P460" s="512">
        <f t="shared" si="45"/>
        <v>0</v>
      </c>
      <c r="Q460" s="473"/>
    </row>
    <row r="461" spans="3:17">
      <c r="C461" s="508">
        <f>IF(D440="","-",+C460+1)</f>
        <v>2030</v>
      </c>
      <c r="D461" s="471">
        <f t="shared" si="46"/>
        <v>9898846.7526388895</v>
      </c>
      <c r="E461" s="515">
        <f t="shared" si="47"/>
        <v>361052.16119047621</v>
      </c>
      <c r="F461" s="515">
        <f t="shared" si="40"/>
        <v>9537794.5914484132</v>
      </c>
      <c r="G461" s="471">
        <f t="shared" si="41"/>
        <v>9718320.6720436513</v>
      </c>
      <c r="H461" s="509">
        <f>+J441*G461+E461</f>
        <v>1431812.0991832069</v>
      </c>
      <c r="I461" s="516">
        <f>+J442*G461+E461</f>
        <v>1431812.0991832069</v>
      </c>
      <c r="J461" s="512">
        <f t="shared" si="42"/>
        <v>0</v>
      </c>
      <c r="K461" s="512"/>
      <c r="L461" s="517"/>
      <c r="M461" s="512">
        <f t="shared" si="43"/>
        <v>0</v>
      </c>
      <c r="N461" s="517"/>
      <c r="O461" s="512">
        <f t="shared" si="44"/>
        <v>0</v>
      </c>
      <c r="P461" s="512">
        <f t="shared" si="45"/>
        <v>0</v>
      </c>
      <c r="Q461" s="473"/>
    </row>
    <row r="462" spans="3:17">
      <c r="C462" s="508">
        <f>IF(D440="","-",+C461+1)</f>
        <v>2031</v>
      </c>
      <c r="D462" s="471">
        <f t="shared" si="46"/>
        <v>9537794.5914484132</v>
      </c>
      <c r="E462" s="515">
        <f t="shared" si="47"/>
        <v>361052.16119047621</v>
      </c>
      <c r="F462" s="515">
        <f t="shared" si="40"/>
        <v>9176742.4302579369</v>
      </c>
      <c r="G462" s="471">
        <f t="shared" si="41"/>
        <v>9357268.5108531751</v>
      </c>
      <c r="H462" s="509">
        <f>+J441*G462+E462</f>
        <v>1392031.5442113408</v>
      </c>
      <c r="I462" s="516">
        <f>+J442*G462+E462</f>
        <v>1392031.5442113408</v>
      </c>
      <c r="J462" s="512">
        <f t="shared" si="42"/>
        <v>0</v>
      </c>
      <c r="K462" s="512"/>
      <c r="L462" s="517"/>
      <c r="M462" s="512">
        <f t="shared" si="43"/>
        <v>0</v>
      </c>
      <c r="N462" s="517"/>
      <c r="O462" s="512">
        <f t="shared" si="44"/>
        <v>0</v>
      </c>
      <c r="P462" s="512">
        <f t="shared" si="45"/>
        <v>0</v>
      </c>
      <c r="Q462" s="473"/>
    </row>
    <row r="463" spans="3:17">
      <c r="C463" s="508">
        <f>IF(D440="","-",+C462+1)</f>
        <v>2032</v>
      </c>
      <c r="D463" s="471">
        <f t="shared" si="46"/>
        <v>9176742.4302579369</v>
      </c>
      <c r="E463" s="515">
        <f t="shared" si="47"/>
        <v>361052.16119047621</v>
      </c>
      <c r="F463" s="515">
        <f t="shared" si="40"/>
        <v>8815690.2690674607</v>
      </c>
      <c r="G463" s="471">
        <f t="shared" si="41"/>
        <v>8996216.3496626988</v>
      </c>
      <c r="H463" s="509">
        <f>+J441*G463+E463</f>
        <v>1352250.9892394745</v>
      </c>
      <c r="I463" s="516">
        <f>+J442*G463+E463</f>
        <v>1352250.9892394745</v>
      </c>
      <c r="J463" s="512">
        <f t="shared" si="42"/>
        <v>0</v>
      </c>
      <c r="K463" s="512"/>
      <c r="L463" s="517"/>
      <c r="M463" s="512">
        <f t="shared" si="43"/>
        <v>0</v>
      </c>
      <c r="N463" s="517"/>
      <c r="O463" s="512">
        <f t="shared" si="44"/>
        <v>0</v>
      </c>
      <c r="P463" s="512">
        <f t="shared" si="45"/>
        <v>0</v>
      </c>
      <c r="Q463" s="473"/>
    </row>
    <row r="464" spans="3:17">
      <c r="C464" s="508">
        <f>IF(D440="","-",+C463+1)</f>
        <v>2033</v>
      </c>
      <c r="D464" s="471">
        <f t="shared" si="46"/>
        <v>8815690.2690674607</v>
      </c>
      <c r="E464" s="515">
        <f t="shared" si="47"/>
        <v>361052.16119047621</v>
      </c>
      <c r="F464" s="515">
        <f t="shared" si="40"/>
        <v>8454638.1078769844</v>
      </c>
      <c r="G464" s="471">
        <f t="shared" si="41"/>
        <v>8635164.1884722225</v>
      </c>
      <c r="H464" s="509">
        <f>+J441*G464+E464</f>
        <v>1312470.4342676084</v>
      </c>
      <c r="I464" s="516">
        <f>+J442*G464+E464</f>
        <v>1312470.4342676084</v>
      </c>
      <c r="J464" s="512">
        <f t="shared" si="42"/>
        <v>0</v>
      </c>
      <c r="K464" s="512"/>
      <c r="L464" s="517"/>
      <c r="M464" s="512">
        <f t="shared" si="43"/>
        <v>0</v>
      </c>
      <c r="N464" s="517"/>
      <c r="O464" s="512">
        <f t="shared" si="44"/>
        <v>0</v>
      </c>
      <c r="P464" s="512">
        <f t="shared" si="45"/>
        <v>0</v>
      </c>
      <c r="Q464" s="473"/>
    </row>
    <row r="465" spans="3:17">
      <c r="C465" s="508">
        <f>IF(D440="","-",+C464+1)</f>
        <v>2034</v>
      </c>
      <c r="D465" s="471">
        <f t="shared" si="46"/>
        <v>8454638.1078769844</v>
      </c>
      <c r="E465" s="515">
        <f t="shared" si="47"/>
        <v>361052.16119047621</v>
      </c>
      <c r="F465" s="515">
        <f t="shared" si="40"/>
        <v>8093585.9466865081</v>
      </c>
      <c r="G465" s="471">
        <f t="shared" si="41"/>
        <v>8274112.0272817463</v>
      </c>
      <c r="H465" s="509">
        <f>+J441*G465+E465</f>
        <v>1272689.8792957424</v>
      </c>
      <c r="I465" s="516">
        <f>+J442*G465+E465</f>
        <v>1272689.8792957424</v>
      </c>
      <c r="J465" s="512">
        <f t="shared" si="42"/>
        <v>0</v>
      </c>
      <c r="K465" s="512"/>
      <c r="L465" s="517"/>
      <c r="M465" s="512">
        <f t="shared" si="43"/>
        <v>0</v>
      </c>
      <c r="N465" s="517"/>
      <c r="O465" s="512">
        <f t="shared" si="44"/>
        <v>0</v>
      </c>
      <c r="P465" s="512">
        <f t="shared" si="45"/>
        <v>0</v>
      </c>
      <c r="Q465" s="473"/>
    </row>
    <row r="466" spans="3:17">
      <c r="C466" s="508">
        <f>IF(D440="","-",+C465+1)</f>
        <v>2035</v>
      </c>
      <c r="D466" s="471">
        <f t="shared" si="46"/>
        <v>8093585.9466865081</v>
      </c>
      <c r="E466" s="515">
        <f t="shared" si="47"/>
        <v>361052.16119047621</v>
      </c>
      <c r="F466" s="515">
        <f t="shared" si="40"/>
        <v>7732533.7854960319</v>
      </c>
      <c r="G466" s="471">
        <f t="shared" si="41"/>
        <v>7913059.86609127</v>
      </c>
      <c r="H466" s="509">
        <f>+J441*G466+E466</f>
        <v>1232909.3243238761</v>
      </c>
      <c r="I466" s="516">
        <f>+J442*G466+E466</f>
        <v>1232909.3243238761</v>
      </c>
      <c r="J466" s="512">
        <f t="shared" si="42"/>
        <v>0</v>
      </c>
      <c r="K466" s="512"/>
      <c r="L466" s="517"/>
      <c r="M466" s="512">
        <f t="shared" si="43"/>
        <v>0</v>
      </c>
      <c r="N466" s="517"/>
      <c r="O466" s="512">
        <f t="shared" si="44"/>
        <v>0</v>
      </c>
      <c r="P466" s="512">
        <f t="shared" si="45"/>
        <v>0</v>
      </c>
      <c r="Q466" s="473"/>
    </row>
    <row r="467" spans="3:17">
      <c r="C467" s="508">
        <f>IF(D440="","-",+C466+1)</f>
        <v>2036</v>
      </c>
      <c r="D467" s="471">
        <f t="shared" si="46"/>
        <v>7732533.7854960319</v>
      </c>
      <c r="E467" s="515">
        <f t="shared" si="47"/>
        <v>361052.16119047621</v>
      </c>
      <c r="F467" s="515">
        <f t="shared" si="40"/>
        <v>7371481.6243055556</v>
      </c>
      <c r="G467" s="471">
        <f t="shared" si="41"/>
        <v>7552007.7049007937</v>
      </c>
      <c r="H467" s="509">
        <f>+J441*G467+E467</f>
        <v>1193128.76935201</v>
      </c>
      <c r="I467" s="516">
        <f>+J442*G467+E467</f>
        <v>1193128.76935201</v>
      </c>
      <c r="J467" s="512">
        <f t="shared" si="42"/>
        <v>0</v>
      </c>
      <c r="K467" s="512"/>
      <c r="L467" s="517"/>
      <c r="M467" s="512">
        <f t="shared" si="43"/>
        <v>0</v>
      </c>
      <c r="N467" s="517"/>
      <c r="O467" s="512">
        <f t="shared" si="44"/>
        <v>0</v>
      </c>
      <c r="P467" s="512">
        <f t="shared" si="45"/>
        <v>0</v>
      </c>
      <c r="Q467" s="473"/>
    </row>
    <row r="468" spans="3:17">
      <c r="C468" s="508">
        <f>IF(D440="","-",+C467+1)</f>
        <v>2037</v>
      </c>
      <c r="D468" s="471">
        <f t="shared" si="46"/>
        <v>7371481.6243055556</v>
      </c>
      <c r="E468" s="515">
        <f t="shared" si="47"/>
        <v>361052.16119047621</v>
      </c>
      <c r="F468" s="515">
        <f t="shared" si="40"/>
        <v>7010429.4631150793</v>
      </c>
      <c r="G468" s="471">
        <f t="shared" si="41"/>
        <v>7190955.5437103175</v>
      </c>
      <c r="H468" s="509">
        <f>+J441*G468+E468</f>
        <v>1153348.2143801439</v>
      </c>
      <c r="I468" s="516">
        <f>+J442*G468+E468</f>
        <v>1153348.2143801439</v>
      </c>
      <c r="J468" s="512">
        <f t="shared" si="42"/>
        <v>0</v>
      </c>
      <c r="K468" s="512"/>
      <c r="L468" s="517"/>
      <c r="M468" s="512">
        <f t="shared" si="43"/>
        <v>0</v>
      </c>
      <c r="N468" s="517"/>
      <c r="O468" s="512">
        <f t="shared" si="44"/>
        <v>0</v>
      </c>
      <c r="P468" s="512">
        <f t="shared" si="45"/>
        <v>0</v>
      </c>
      <c r="Q468" s="473"/>
    </row>
    <row r="469" spans="3:17">
      <c r="C469" s="508">
        <f>IF(D440="","-",+C468+1)</f>
        <v>2038</v>
      </c>
      <c r="D469" s="471">
        <f t="shared" si="46"/>
        <v>7010429.4631150793</v>
      </c>
      <c r="E469" s="515">
        <f t="shared" si="47"/>
        <v>361052.16119047621</v>
      </c>
      <c r="F469" s="515">
        <f t="shared" si="40"/>
        <v>6649377.3019246031</v>
      </c>
      <c r="G469" s="471">
        <f t="shared" si="41"/>
        <v>6829903.3825198412</v>
      </c>
      <c r="H469" s="509">
        <f>+J441*G469+E469</f>
        <v>1113567.6594082776</v>
      </c>
      <c r="I469" s="516">
        <f>+J442*G469+E469</f>
        <v>1113567.6594082776</v>
      </c>
      <c r="J469" s="512">
        <f t="shared" si="42"/>
        <v>0</v>
      </c>
      <c r="K469" s="512"/>
      <c r="L469" s="517"/>
      <c r="M469" s="512">
        <f t="shared" si="43"/>
        <v>0</v>
      </c>
      <c r="N469" s="517"/>
      <c r="O469" s="512">
        <f t="shared" si="44"/>
        <v>0</v>
      </c>
      <c r="P469" s="512">
        <f t="shared" si="45"/>
        <v>0</v>
      </c>
      <c r="Q469" s="473"/>
    </row>
    <row r="470" spans="3:17">
      <c r="C470" s="508">
        <f>IF(D440="","-",+C469+1)</f>
        <v>2039</v>
      </c>
      <c r="D470" s="471">
        <f t="shared" si="46"/>
        <v>6649377.3019246031</v>
      </c>
      <c r="E470" s="515">
        <f t="shared" si="47"/>
        <v>361052.16119047621</v>
      </c>
      <c r="F470" s="515">
        <f t="shared" si="40"/>
        <v>6288325.1407341268</v>
      </c>
      <c r="G470" s="471">
        <f t="shared" si="41"/>
        <v>6468851.2213293649</v>
      </c>
      <c r="H470" s="509">
        <f>+J441*G470+E470</f>
        <v>1073787.1044364115</v>
      </c>
      <c r="I470" s="516">
        <f>+J442*G470+E470</f>
        <v>1073787.1044364115</v>
      </c>
      <c r="J470" s="512">
        <f t="shared" si="42"/>
        <v>0</v>
      </c>
      <c r="K470" s="512"/>
      <c r="L470" s="517"/>
      <c r="M470" s="512">
        <f t="shared" si="43"/>
        <v>0</v>
      </c>
      <c r="N470" s="517"/>
      <c r="O470" s="512">
        <f t="shared" si="44"/>
        <v>0</v>
      </c>
      <c r="P470" s="512">
        <f t="shared" si="45"/>
        <v>0</v>
      </c>
      <c r="Q470" s="473"/>
    </row>
    <row r="471" spans="3:17">
      <c r="C471" s="508">
        <f>IF(D440="","-",+C470+1)</f>
        <v>2040</v>
      </c>
      <c r="D471" s="471">
        <f t="shared" si="46"/>
        <v>6288325.1407341268</v>
      </c>
      <c r="E471" s="515">
        <f t="shared" si="47"/>
        <v>361052.16119047621</v>
      </c>
      <c r="F471" s="515">
        <f t="shared" si="40"/>
        <v>5927272.9795436505</v>
      </c>
      <c r="G471" s="471">
        <f t="shared" si="41"/>
        <v>6107799.0601388887</v>
      </c>
      <c r="H471" s="509">
        <f>+J441*G471+E471</f>
        <v>1034006.5494645452</v>
      </c>
      <c r="I471" s="516">
        <f>+J442*G471+E471</f>
        <v>1034006.5494645452</v>
      </c>
      <c r="J471" s="512">
        <f t="shared" si="42"/>
        <v>0</v>
      </c>
      <c r="K471" s="512"/>
      <c r="L471" s="517"/>
      <c r="M471" s="512">
        <f t="shared" si="43"/>
        <v>0</v>
      </c>
      <c r="N471" s="517"/>
      <c r="O471" s="512">
        <f t="shared" si="44"/>
        <v>0</v>
      </c>
      <c r="P471" s="512">
        <f t="shared" si="45"/>
        <v>0</v>
      </c>
      <c r="Q471" s="473"/>
    </row>
    <row r="472" spans="3:17">
      <c r="C472" s="508">
        <f>IF(D440="","-",+C471+1)</f>
        <v>2041</v>
      </c>
      <c r="D472" s="471">
        <f t="shared" si="46"/>
        <v>5927272.9795436505</v>
      </c>
      <c r="E472" s="515">
        <f t="shared" si="47"/>
        <v>361052.16119047621</v>
      </c>
      <c r="F472" s="515">
        <f t="shared" si="40"/>
        <v>5566220.8183531743</v>
      </c>
      <c r="G472" s="471">
        <f t="shared" si="41"/>
        <v>5746746.8989484124</v>
      </c>
      <c r="H472" s="509">
        <f>+J441*G472+E472</f>
        <v>994225.99449267914</v>
      </c>
      <c r="I472" s="516">
        <f>+J442*G472+E472</f>
        <v>994225.99449267914</v>
      </c>
      <c r="J472" s="512">
        <f t="shared" si="42"/>
        <v>0</v>
      </c>
      <c r="K472" s="512"/>
      <c r="L472" s="517"/>
      <c r="M472" s="512">
        <f t="shared" si="43"/>
        <v>0</v>
      </c>
      <c r="N472" s="517"/>
      <c r="O472" s="512">
        <f t="shared" si="44"/>
        <v>0</v>
      </c>
      <c r="P472" s="512">
        <f t="shared" si="45"/>
        <v>0</v>
      </c>
      <c r="Q472" s="473"/>
    </row>
    <row r="473" spans="3:17">
      <c r="C473" s="508">
        <f>IF(D440="","-",+C472+1)</f>
        <v>2042</v>
      </c>
      <c r="D473" s="471">
        <f t="shared" si="46"/>
        <v>5566220.8183531743</v>
      </c>
      <c r="E473" s="515">
        <f t="shared" si="47"/>
        <v>361052.16119047621</v>
      </c>
      <c r="F473" s="515">
        <f t="shared" si="40"/>
        <v>5205168.657162698</v>
      </c>
      <c r="G473" s="471">
        <f t="shared" si="41"/>
        <v>5385694.7377579361</v>
      </c>
      <c r="H473" s="509">
        <f>+J441*G473+E473</f>
        <v>954445.43952081306</v>
      </c>
      <c r="I473" s="516">
        <f>+J442*G473+E473</f>
        <v>954445.43952081306</v>
      </c>
      <c r="J473" s="512">
        <f t="shared" si="42"/>
        <v>0</v>
      </c>
      <c r="K473" s="512"/>
      <c r="L473" s="517"/>
      <c r="M473" s="512">
        <f t="shared" si="43"/>
        <v>0</v>
      </c>
      <c r="N473" s="517"/>
      <c r="O473" s="512">
        <f t="shared" si="44"/>
        <v>0</v>
      </c>
      <c r="P473" s="512">
        <f t="shared" si="45"/>
        <v>0</v>
      </c>
      <c r="Q473" s="473"/>
    </row>
    <row r="474" spans="3:17">
      <c r="C474" s="508">
        <f>IF(D440="","-",+C473+1)</f>
        <v>2043</v>
      </c>
      <c r="D474" s="471">
        <f t="shared" si="46"/>
        <v>5205168.657162698</v>
      </c>
      <c r="E474" s="515">
        <f t="shared" si="47"/>
        <v>361052.16119047621</v>
      </c>
      <c r="F474" s="515">
        <f t="shared" si="40"/>
        <v>4844116.4959722217</v>
      </c>
      <c r="G474" s="471">
        <f t="shared" si="41"/>
        <v>5024642.5765674599</v>
      </c>
      <c r="H474" s="509">
        <f>+J441*G474+E474</f>
        <v>914664.88454894675</v>
      </c>
      <c r="I474" s="516">
        <f>+J442*G474+E474</f>
        <v>914664.88454894675</v>
      </c>
      <c r="J474" s="512">
        <f t="shared" si="42"/>
        <v>0</v>
      </c>
      <c r="K474" s="512"/>
      <c r="L474" s="517"/>
      <c r="M474" s="512">
        <f t="shared" si="43"/>
        <v>0</v>
      </c>
      <c r="N474" s="517"/>
      <c r="O474" s="512">
        <f t="shared" si="44"/>
        <v>0</v>
      </c>
      <c r="P474" s="512">
        <f t="shared" si="45"/>
        <v>0</v>
      </c>
      <c r="Q474" s="473"/>
    </row>
    <row r="475" spans="3:17">
      <c r="C475" s="508">
        <f>IF(D440="","-",+C474+1)</f>
        <v>2044</v>
      </c>
      <c r="D475" s="471">
        <f t="shared" si="46"/>
        <v>4844116.4959722217</v>
      </c>
      <c r="E475" s="515">
        <f t="shared" si="47"/>
        <v>361052.16119047621</v>
      </c>
      <c r="F475" s="515">
        <f t="shared" si="40"/>
        <v>4483064.3347817454</v>
      </c>
      <c r="G475" s="471">
        <f t="shared" si="41"/>
        <v>4663590.4153769836</v>
      </c>
      <c r="H475" s="509">
        <f>+J441*G475+E475</f>
        <v>874884.32957708067</v>
      </c>
      <c r="I475" s="516">
        <f>+J442*G475+E475</f>
        <v>874884.32957708067</v>
      </c>
      <c r="J475" s="512">
        <f t="shared" si="42"/>
        <v>0</v>
      </c>
      <c r="K475" s="512"/>
      <c r="L475" s="517"/>
      <c r="M475" s="512">
        <f t="shared" si="43"/>
        <v>0</v>
      </c>
      <c r="N475" s="517"/>
      <c r="O475" s="512">
        <f t="shared" si="44"/>
        <v>0</v>
      </c>
      <c r="P475" s="512">
        <f t="shared" si="45"/>
        <v>0</v>
      </c>
      <c r="Q475" s="473"/>
    </row>
    <row r="476" spans="3:17">
      <c r="C476" s="508">
        <f>IF(D440="","-",+C475+1)</f>
        <v>2045</v>
      </c>
      <c r="D476" s="471">
        <f t="shared" si="46"/>
        <v>4483064.3347817454</v>
      </c>
      <c r="E476" s="515">
        <f t="shared" si="47"/>
        <v>361052.16119047621</v>
      </c>
      <c r="F476" s="515">
        <f t="shared" si="40"/>
        <v>4122012.1735912692</v>
      </c>
      <c r="G476" s="471">
        <f t="shared" si="41"/>
        <v>4302538.2541865073</v>
      </c>
      <c r="H476" s="509">
        <f>+J441*G476+E476</f>
        <v>835103.77460521448</v>
      </c>
      <c r="I476" s="516">
        <f>+J442*G476+E476</f>
        <v>835103.77460521448</v>
      </c>
      <c r="J476" s="512">
        <f t="shared" si="42"/>
        <v>0</v>
      </c>
      <c r="K476" s="512"/>
      <c r="L476" s="517"/>
      <c r="M476" s="512">
        <f t="shared" si="43"/>
        <v>0</v>
      </c>
      <c r="N476" s="517"/>
      <c r="O476" s="512">
        <f t="shared" si="44"/>
        <v>0</v>
      </c>
      <c r="P476" s="512">
        <f t="shared" si="45"/>
        <v>0</v>
      </c>
      <c r="Q476" s="473"/>
    </row>
    <row r="477" spans="3:17">
      <c r="C477" s="508">
        <f>IF(D440="","-",+C476+1)</f>
        <v>2046</v>
      </c>
      <c r="D477" s="471">
        <f t="shared" si="46"/>
        <v>4122012.1735912692</v>
      </c>
      <c r="E477" s="515">
        <f t="shared" si="47"/>
        <v>361052.16119047621</v>
      </c>
      <c r="F477" s="515">
        <f t="shared" si="40"/>
        <v>3760960.0124007929</v>
      </c>
      <c r="G477" s="471">
        <f t="shared" si="41"/>
        <v>3941486.092996031</v>
      </c>
      <c r="H477" s="509">
        <f>+J441*G477+E477</f>
        <v>795323.21963334829</v>
      </c>
      <c r="I477" s="516">
        <f>+J442*G477+E477</f>
        <v>795323.21963334829</v>
      </c>
      <c r="J477" s="512">
        <f t="shared" si="42"/>
        <v>0</v>
      </c>
      <c r="K477" s="512"/>
      <c r="L477" s="517"/>
      <c r="M477" s="512">
        <f t="shared" si="43"/>
        <v>0</v>
      </c>
      <c r="N477" s="517"/>
      <c r="O477" s="512">
        <f t="shared" si="44"/>
        <v>0</v>
      </c>
      <c r="P477" s="512">
        <f t="shared" si="45"/>
        <v>0</v>
      </c>
      <c r="Q477" s="473"/>
    </row>
    <row r="478" spans="3:17">
      <c r="C478" s="508">
        <f>IF(D440="","-",+C477+1)</f>
        <v>2047</v>
      </c>
      <c r="D478" s="471">
        <f t="shared" si="46"/>
        <v>3760960.0124007929</v>
      </c>
      <c r="E478" s="515">
        <f t="shared" si="47"/>
        <v>361052.16119047621</v>
      </c>
      <c r="F478" s="515">
        <f t="shared" si="40"/>
        <v>3399907.8512103166</v>
      </c>
      <c r="G478" s="471">
        <f t="shared" si="41"/>
        <v>3580433.9318055548</v>
      </c>
      <c r="H478" s="509">
        <f>+J441*G478+E478</f>
        <v>755542.66466148221</v>
      </c>
      <c r="I478" s="516">
        <f>+J442*G478+E478</f>
        <v>755542.66466148221</v>
      </c>
      <c r="J478" s="512">
        <f t="shared" si="42"/>
        <v>0</v>
      </c>
      <c r="K478" s="512"/>
      <c r="L478" s="517"/>
      <c r="M478" s="512">
        <f t="shared" si="43"/>
        <v>0</v>
      </c>
      <c r="N478" s="517"/>
      <c r="O478" s="512">
        <f t="shared" si="44"/>
        <v>0</v>
      </c>
      <c r="P478" s="512">
        <f t="shared" si="45"/>
        <v>0</v>
      </c>
      <c r="Q478" s="473"/>
    </row>
    <row r="479" spans="3:17">
      <c r="C479" s="508">
        <f>IF(D440="","-",+C478+1)</f>
        <v>2048</v>
      </c>
      <c r="D479" s="471">
        <f t="shared" si="46"/>
        <v>3399907.8512103166</v>
      </c>
      <c r="E479" s="515">
        <f t="shared" si="47"/>
        <v>361052.16119047621</v>
      </c>
      <c r="F479" s="515">
        <f t="shared" si="40"/>
        <v>3038855.6900198404</v>
      </c>
      <c r="G479" s="471">
        <f t="shared" si="41"/>
        <v>3219381.7706150785</v>
      </c>
      <c r="H479" s="509">
        <f>+J441*G479+E479</f>
        <v>715762.10968961602</v>
      </c>
      <c r="I479" s="516">
        <f>+J442*G479+E479</f>
        <v>715762.10968961602</v>
      </c>
      <c r="J479" s="512">
        <f t="shared" si="42"/>
        <v>0</v>
      </c>
      <c r="K479" s="512"/>
      <c r="L479" s="517"/>
      <c r="M479" s="512">
        <f t="shared" si="43"/>
        <v>0</v>
      </c>
      <c r="N479" s="517"/>
      <c r="O479" s="512">
        <f t="shared" si="44"/>
        <v>0</v>
      </c>
      <c r="P479" s="512">
        <f t="shared" si="45"/>
        <v>0</v>
      </c>
      <c r="Q479" s="473"/>
    </row>
    <row r="480" spans="3:17">
      <c r="C480" s="508">
        <f>IF(D440="","-",+C479+1)</f>
        <v>2049</v>
      </c>
      <c r="D480" s="471">
        <f t="shared" si="46"/>
        <v>3038855.6900198404</v>
      </c>
      <c r="E480" s="515">
        <f t="shared" si="47"/>
        <v>361052.16119047621</v>
      </c>
      <c r="F480" s="515">
        <f t="shared" si="40"/>
        <v>2677803.5288293641</v>
      </c>
      <c r="G480" s="471">
        <f t="shared" si="41"/>
        <v>2858329.6094246022</v>
      </c>
      <c r="H480" s="509">
        <f>+J441*G480+E480</f>
        <v>675981.55471774982</v>
      </c>
      <c r="I480" s="516">
        <f>+J442*G480+E480</f>
        <v>675981.55471774982</v>
      </c>
      <c r="J480" s="512">
        <f t="shared" si="42"/>
        <v>0</v>
      </c>
      <c r="K480" s="512"/>
      <c r="L480" s="517"/>
      <c r="M480" s="512">
        <f t="shared" si="43"/>
        <v>0</v>
      </c>
      <c r="N480" s="517"/>
      <c r="O480" s="512">
        <f t="shared" si="44"/>
        <v>0</v>
      </c>
      <c r="P480" s="512">
        <f t="shared" si="45"/>
        <v>0</v>
      </c>
      <c r="Q480" s="473"/>
    </row>
    <row r="481" spans="3:17">
      <c r="C481" s="508">
        <f>IF(D440="","-",+C480+1)</f>
        <v>2050</v>
      </c>
      <c r="D481" s="471">
        <f t="shared" si="46"/>
        <v>2677803.5288293641</v>
      </c>
      <c r="E481" s="515">
        <f t="shared" si="47"/>
        <v>361052.16119047621</v>
      </c>
      <c r="F481" s="515">
        <f t="shared" si="40"/>
        <v>2316751.3676388878</v>
      </c>
      <c r="G481" s="471">
        <f t="shared" si="41"/>
        <v>2497277.448234126</v>
      </c>
      <c r="H481" s="509">
        <f>+J441*G481+E481</f>
        <v>636200.99974588375</v>
      </c>
      <c r="I481" s="516">
        <f>+J442*G481+E481</f>
        <v>636200.99974588375</v>
      </c>
      <c r="J481" s="512">
        <f t="shared" si="42"/>
        <v>0</v>
      </c>
      <c r="K481" s="512"/>
      <c r="L481" s="517"/>
      <c r="M481" s="512">
        <f t="shared" si="43"/>
        <v>0</v>
      </c>
      <c r="N481" s="517"/>
      <c r="O481" s="512">
        <f t="shared" si="44"/>
        <v>0</v>
      </c>
      <c r="P481" s="512">
        <f t="shared" si="45"/>
        <v>0</v>
      </c>
      <c r="Q481" s="473"/>
    </row>
    <row r="482" spans="3:17">
      <c r="C482" s="508">
        <f>IF(D440="","-",+C481+1)</f>
        <v>2051</v>
      </c>
      <c r="D482" s="471">
        <f t="shared" si="46"/>
        <v>2316751.3676388878</v>
      </c>
      <c r="E482" s="515">
        <f t="shared" si="47"/>
        <v>361052.16119047621</v>
      </c>
      <c r="F482" s="515">
        <f t="shared" si="40"/>
        <v>1955699.2064484116</v>
      </c>
      <c r="G482" s="471">
        <f t="shared" si="41"/>
        <v>2136225.2870436497</v>
      </c>
      <c r="H482" s="509">
        <f>+J441*G482+E482</f>
        <v>596420.44477401755</v>
      </c>
      <c r="I482" s="516">
        <f>+J442*G482+E482</f>
        <v>596420.44477401755</v>
      </c>
      <c r="J482" s="512">
        <f t="shared" si="42"/>
        <v>0</v>
      </c>
      <c r="K482" s="512"/>
      <c r="L482" s="517"/>
      <c r="M482" s="512">
        <f t="shared" si="43"/>
        <v>0</v>
      </c>
      <c r="N482" s="517"/>
      <c r="O482" s="512">
        <f t="shared" si="44"/>
        <v>0</v>
      </c>
      <c r="P482" s="512">
        <f t="shared" si="45"/>
        <v>0</v>
      </c>
      <c r="Q482" s="473"/>
    </row>
    <row r="483" spans="3:17">
      <c r="C483" s="508">
        <f>IF(D440="","-",+C482+1)</f>
        <v>2052</v>
      </c>
      <c r="D483" s="471">
        <f t="shared" si="46"/>
        <v>1955699.2064484116</v>
      </c>
      <c r="E483" s="515">
        <f t="shared" si="47"/>
        <v>361052.16119047621</v>
      </c>
      <c r="F483" s="515">
        <f t="shared" si="40"/>
        <v>1594647.0452579353</v>
      </c>
      <c r="G483" s="471">
        <f t="shared" si="41"/>
        <v>1775173.1258531734</v>
      </c>
      <c r="H483" s="509">
        <f>+J441*G483+E483</f>
        <v>556639.88980215136</v>
      </c>
      <c r="I483" s="516">
        <f>+J442*G483+E483</f>
        <v>556639.88980215136</v>
      </c>
      <c r="J483" s="512">
        <f t="shared" si="42"/>
        <v>0</v>
      </c>
      <c r="K483" s="512"/>
      <c r="L483" s="517"/>
      <c r="M483" s="512">
        <f t="shared" si="43"/>
        <v>0</v>
      </c>
      <c r="N483" s="517"/>
      <c r="O483" s="512">
        <f t="shared" si="44"/>
        <v>0</v>
      </c>
      <c r="P483" s="512">
        <f t="shared" si="45"/>
        <v>0</v>
      </c>
      <c r="Q483" s="473"/>
    </row>
    <row r="484" spans="3:17">
      <c r="C484" s="508">
        <f>IF(D440="","-",+C483+1)</f>
        <v>2053</v>
      </c>
      <c r="D484" s="471">
        <f t="shared" si="46"/>
        <v>1594647.0452579353</v>
      </c>
      <c r="E484" s="515">
        <f t="shared" si="47"/>
        <v>361052.16119047621</v>
      </c>
      <c r="F484" s="515">
        <f t="shared" si="40"/>
        <v>1233594.884067459</v>
      </c>
      <c r="G484" s="471">
        <f t="shared" si="41"/>
        <v>1414120.9646626972</v>
      </c>
      <c r="H484" s="509">
        <f>+J441*G484+E484</f>
        <v>516859.33483028517</v>
      </c>
      <c r="I484" s="516">
        <f>+J442*G484+E484</f>
        <v>516859.33483028517</v>
      </c>
      <c r="J484" s="512">
        <f t="shared" si="42"/>
        <v>0</v>
      </c>
      <c r="K484" s="512"/>
      <c r="L484" s="517"/>
      <c r="M484" s="512">
        <f t="shared" si="43"/>
        <v>0</v>
      </c>
      <c r="N484" s="517"/>
      <c r="O484" s="512">
        <f t="shared" si="44"/>
        <v>0</v>
      </c>
      <c r="P484" s="512">
        <f t="shared" si="45"/>
        <v>0</v>
      </c>
      <c r="Q484" s="473"/>
    </row>
    <row r="485" spans="3:17">
      <c r="C485" s="508">
        <f>IF(D440="","-",+C484+1)</f>
        <v>2054</v>
      </c>
      <c r="D485" s="471">
        <f t="shared" si="46"/>
        <v>1233594.884067459</v>
      </c>
      <c r="E485" s="515">
        <f t="shared" si="47"/>
        <v>361052.16119047621</v>
      </c>
      <c r="F485" s="515">
        <f t="shared" si="40"/>
        <v>872542.72287698276</v>
      </c>
      <c r="G485" s="471">
        <f t="shared" si="41"/>
        <v>1053068.8034722209</v>
      </c>
      <c r="H485" s="509">
        <f>+J441*G485+E485</f>
        <v>477078.77985841903</v>
      </c>
      <c r="I485" s="516">
        <f>+J442*G485+E485</f>
        <v>477078.77985841903</v>
      </c>
      <c r="J485" s="512">
        <f t="shared" si="42"/>
        <v>0</v>
      </c>
      <c r="K485" s="512"/>
      <c r="L485" s="517"/>
      <c r="M485" s="512">
        <f t="shared" si="43"/>
        <v>0</v>
      </c>
      <c r="N485" s="517"/>
      <c r="O485" s="512">
        <f t="shared" si="44"/>
        <v>0</v>
      </c>
      <c r="P485" s="512">
        <f t="shared" si="45"/>
        <v>0</v>
      </c>
      <c r="Q485" s="473"/>
    </row>
    <row r="486" spans="3:17">
      <c r="C486" s="508">
        <f>IF(D440="","-",+C485+1)</f>
        <v>2055</v>
      </c>
      <c r="D486" s="471">
        <f t="shared" si="46"/>
        <v>872542.72287698276</v>
      </c>
      <c r="E486" s="515">
        <f t="shared" si="47"/>
        <v>361052.16119047621</v>
      </c>
      <c r="F486" s="515">
        <f t="shared" si="40"/>
        <v>511490.56168650655</v>
      </c>
      <c r="G486" s="471">
        <f t="shared" si="41"/>
        <v>692016.64228174463</v>
      </c>
      <c r="H486" s="509">
        <f>+J441*G486+E486</f>
        <v>437298.22488655284</v>
      </c>
      <c r="I486" s="516">
        <f>+J442*G486+E486</f>
        <v>437298.22488655284</v>
      </c>
      <c r="J486" s="512">
        <f t="shared" si="42"/>
        <v>0</v>
      </c>
      <c r="K486" s="512"/>
      <c r="L486" s="517"/>
      <c r="M486" s="512">
        <f t="shared" si="43"/>
        <v>0</v>
      </c>
      <c r="N486" s="517"/>
      <c r="O486" s="512">
        <f t="shared" si="44"/>
        <v>0</v>
      </c>
      <c r="P486" s="512">
        <f t="shared" si="45"/>
        <v>0</v>
      </c>
      <c r="Q486" s="473"/>
    </row>
    <row r="487" spans="3:17">
      <c r="C487" s="508">
        <f>IF(D440="","-",+C486+1)</f>
        <v>2056</v>
      </c>
      <c r="D487" s="471">
        <f t="shared" si="46"/>
        <v>511490.56168650655</v>
      </c>
      <c r="E487" s="515">
        <f t="shared" si="47"/>
        <v>361052.16119047621</v>
      </c>
      <c r="F487" s="515">
        <f t="shared" si="40"/>
        <v>150438.40049603034</v>
      </c>
      <c r="G487" s="471">
        <f t="shared" si="41"/>
        <v>330964.48109126848</v>
      </c>
      <c r="H487" s="509">
        <f>+J441*G487+E487</f>
        <v>397517.6699146867</v>
      </c>
      <c r="I487" s="516">
        <f>+J442*G487+E487</f>
        <v>397517.6699146867</v>
      </c>
      <c r="J487" s="512">
        <f t="shared" si="42"/>
        <v>0</v>
      </c>
      <c r="K487" s="512"/>
      <c r="L487" s="517"/>
      <c r="M487" s="512">
        <f t="shared" si="43"/>
        <v>0</v>
      </c>
      <c r="N487" s="517"/>
      <c r="O487" s="512">
        <f t="shared" si="44"/>
        <v>0</v>
      </c>
      <c r="P487" s="512">
        <f t="shared" si="45"/>
        <v>0</v>
      </c>
      <c r="Q487" s="473"/>
    </row>
    <row r="488" spans="3:17">
      <c r="C488" s="508">
        <f>IF(D440="","-",+C487+1)</f>
        <v>2057</v>
      </c>
      <c r="D488" s="471">
        <f t="shared" si="46"/>
        <v>150438.40049603034</v>
      </c>
      <c r="E488" s="515">
        <f t="shared" si="47"/>
        <v>150438.40049603034</v>
      </c>
      <c r="F488" s="515">
        <f t="shared" si="40"/>
        <v>0</v>
      </c>
      <c r="G488" s="471">
        <f t="shared" si="41"/>
        <v>75219.200248015171</v>
      </c>
      <c r="H488" s="509">
        <f>+J441*G488+E488</f>
        <v>158726.01611516904</v>
      </c>
      <c r="I488" s="516">
        <f>+J442*G488+E488</f>
        <v>158726.01611516904</v>
      </c>
      <c r="J488" s="512">
        <f t="shared" si="42"/>
        <v>0</v>
      </c>
      <c r="K488" s="512"/>
      <c r="L488" s="517"/>
      <c r="M488" s="512">
        <f t="shared" si="43"/>
        <v>0</v>
      </c>
      <c r="N488" s="517"/>
      <c r="O488" s="512">
        <f t="shared" si="44"/>
        <v>0</v>
      </c>
      <c r="P488" s="512">
        <f t="shared" si="45"/>
        <v>0</v>
      </c>
      <c r="Q488" s="473"/>
    </row>
    <row r="489" spans="3:17">
      <c r="C489" s="508">
        <f>IF(D440="","-",+C488+1)</f>
        <v>2058</v>
      </c>
      <c r="D489" s="471">
        <f t="shared" si="46"/>
        <v>0</v>
      </c>
      <c r="E489" s="515">
        <f t="shared" si="47"/>
        <v>0</v>
      </c>
      <c r="F489" s="515">
        <f t="shared" si="40"/>
        <v>0</v>
      </c>
      <c r="G489" s="471">
        <f t="shared" si="41"/>
        <v>0</v>
      </c>
      <c r="H489" s="509">
        <f>+J441*G489+E489</f>
        <v>0</v>
      </c>
      <c r="I489" s="516">
        <f>+J442*G489+E489</f>
        <v>0</v>
      </c>
      <c r="J489" s="512">
        <f t="shared" si="42"/>
        <v>0</v>
      </c>
      <c r="K489" s="512"/>
      <c r="L489" s="517"/>
      <c r="M489" s="512">
        <f t="shared" si="43"/>
        <v>0</v>
      </c>
      <c r="N489" s="517"/>
      <c r="O489" s="512">
        <f t="shared" si="44"/>
        <v>0</v>
      </c>
      <c r="P489" s="512">
        <f t="shared" si="45"/>
        <v>0</v>
      </c>
      <c r="Q489" s="473"/>
    </row>
    <row r="490" spans="3:17">
      <c r="C490" s="508">
        <f>IF(D440="","-",+C489+1)</f>
        <v>2059</v>
      </c>
      <c r="D490" s="471">
        <f t="shared" si="46"/>
        <v>0</v>
      </c>
      <c r="E490" s="515">
        <f t="shared" si="47"/>
        <v>0</v>
      </c>
      <c r="F490" s="515">
        <f t="shared" si="40"/>
        <v>0</v>
      </c>
      <c r="G490" s="471">
        <f t="shared" si="41"/>
        <v>0</v>
      </c>
      <c r="H490" s="509">
        <f>+J441*G490+E490</f>
        <v>0</v>
      </c>
      <c r="I490" s="516">
        <f>+J442*G490+E490</f>
        <v>0</v>
      </c>
      <c r="J490" s="512">
        <f t="shared" si="42"/>
        <v>0</v>
      </c>
      <c r="K490" s="512"/>
      <c r="L490" s="517"/>
      <c r="M490" s="512">
        <f t="shared" si="43"/>
        <v>0</v>
      </c>
      <c r="N490" s="517"/>
      <c r="O490" s="512">
        <f t="shared" si="44"/>
        <v>0</v>
      </c>
      <c r="P490" s="512">
        <f t="shared" si="45"/>
        <v>0</v>
      </c>
      <c r="Q490" s="473"/>
    </row>
    <row r="491" spans="3:17">
      <c r="C491" s="508">
        <f>IF(D440="","-",+C490+1)</f>
        <v>2060</v>
      </c>
      <c r="D491" s="471">
        <f t="shared" si="46"/>
        <v>0</v>
      </c>
      <c r="E491" s="515">
        <f t="shared" si="47"/>
        <v>0</v>
      </c>
      <c r="F491" s="515">
        <f t="shared" si="40"/>
        <v>0</v>
      </c>
      <c r="G491" s="471">
        <f t="shared" si="41"/>
        <v>0</v>
      </c>
      <c r="H491" s="509">
        <f>+J441*G491+E491</f>
        <v>0</v>
      </c>
      <c r="I491" s="516">
        <f>+J442*G491+E491</f>
        <v>0</v>
      </c>
      <c r="J491" s="512">
        <f t="shared" si="42"/>
        <v>0</v>
      </c>
      <c r="K491" s="512"/>
      <c r="L491" s="517"/>
      <c r="M491" s="512">
        <f t="shared" si="43"/>
        <v>0</v>
      </c>
      <c r="N491" s="517"/>
      <c r="O491" s="512">
        <f t="shared" si="44"/>
        <v>0</v>
      </c>
      <c r="P491" s="512">
        <f t="shared" si="45"/>
        <v>0</v>
      </c>
      <c r="Q491" s="473"/>
    </row>
    <row r="492" spans="3:17">
      <c r="C492" s="508">
        <f>IF(D440="","-",+C491+1)</f>
        <v>2061</v>
      </c>
      <c r="D492" s="471">
        <f t="shared" si="46"/>
        <v>0</v>
      </c>
      <c r="E492" s="515">
        <f t="shared" si="47"/>
        <v>0</v>
      </c>
      <c r="F492" s="515">
        <f t="shared" si="40"/>
        <v>0</v>
      </c>
      <c r="G492" s="471">
        <f t="shared" si="41"/>
        <v>0</v>
      </c>
      <c r="H492" s="509">
        <f>+J441*G492+E492</f>
        <v>0</v>
      </c>
      <c r="I492" s="516">
        <f>+J442*G492+E492</f>
        <v>0</v>
      </c>
      <c r="J492" s="512">
        <f t="shared" si="42"/>
        <v>0</v>
      </c>
      <c r="K492" s="512"/>
      <c r="L492" s="517"/>
      <c r="M492" s="512">
        <f t="shared" si="43"/>
        <v>0</v>
      </c>
      <c r="N492" s="517"/>
      <c r="O492" s="512">
        <f t="shared" si="44"/>
        <v>0</v>
      </c>
      <c r="P492" s="512">
        <f t="shared" si="45"/>
        <v>0</v>
      </c>
      <c r="Q492" s="473"/>
    </row>
    <row r="493" spans="3:17">
      <c r="C493" s="508">
        <f>IF(D440="","-",+C492+1)</f>
        <v>2062</v>
      </c>
      <c r="D493" s="471">
        <f t="shared" si="46"/>
        <v>0</v>
      </c>
      <c r="E493" s="515">
        <f t="shared" si="47"/>
        <v>0</v>
      </c>
      <c r="F493" s="515">
        <f t="shared" si="40"/>
        <v>0</v>
      </c>
      <c r="G493" s="471">
        <f t="shared" si="41"/>
        <v>0</v>
      </c>
      <c r="H493" s="509">
        <f>+J441*G493+E493</f>
        <v>0</v>
      </c>
      <c r="I493" s="516">
        <f>+J442*G493+E493</f>
        <v>0</v>
      </c>
      <c r="J493" s="512">
        <f t="shared" si="42"/>
        <v>0</v>
      </c>
      <c r="K493" s="512"/>
      <c r="L493" s="517"/>
      <c r="M493" s="512">
        <f t="shared" si="43"/>
        <v>0</v>
      </c>
      <c r="N493" s="517"/>
      <c r="O493" s="512">
        <f t="shared" si="44"/>
        <v>0</v>
      </c>
      <c r="P493" s="512">
        <f t="shared" si="45"/>
        <v>0</v>
      </c>
      <c r="Q493" s="473"/>
    </row>
    <row r="494" spans="3:17">
      <c r="C494" s="508">
        <f>IF(D440="","-",+C493+1)</f>
        <v>2063</v>
      </c>
      <c r="D494" s="471">
        <f t="shared" si="46"/>
        <v>0</v>
      </c>
      <c r="E494" s="515">
        <f t="shared" si="47"/>
        <v>0</v>
      </c>
      <c r="F494" s="515">
        <f t="shared" si="40"/>
        <v>0</v>
      </c>
      <c r="G494" s="471">
        <f t="shared" si="41"/>
        <v>0</v>
      </c>
      <c r="H494" s="509">
        <f>+J441*G494+E494</f>
        <v>0</v>
      </c>
      <c r="I494" s="516">
        <f>+J442*G494+E494</f>
        <v>0</v>
      </c>
      <c r="J494" s="512">
        <f t="shared" si="42"/>
        <v>0</v>
      </c>
      <c r="K494" s="512"/>
      <c r="L494" s="517"/>
      <c r="M494" s="512">
        <f t="shared" si="43"/>
        <v>0</v>
      </c>
      <c r="N494" s="517"/>
      <c r="O494" s="512">
        <f t="shared" si="44"/>
        <v>0</v>
      </c>
      <c r="P494" s="512">
        <f t="shared" si="45"/>
        <v>0</v>
      </c>
      <c r="Q494" s="473"/>
    </row>
    <row r="495" spans="3:17">
      <c r="C495" s="508">
        <f>IF(D440="","-",+C494+1)</f>
        <v>2064</v>
      </c>
      <c r="D495" s="471">
        <f t="shared" si="46"/>
        <v>0</v>
      </c>
      <c r="E495" s="515">
        <f t="shared" si="47"/>
        <v>0</v>
      </c>
      <c r="F495" s="515">
        <f t="shared" si="40"/>
        <v>0</v>
      </c>
      <c r="G495" s="471">
        <f t="shared" si="41"/>
        <v>0</v>
      </c>
      <c r="H495" s="509">
        <f>+J441*G495+E495</f>
        <v>0</v>
      </c>
      <c r="I495" s="516">
        <f>+J442*G495+E495</f>
        <v>0</v>
      </c>
      <c r="J495" s="512">
        <f t="shared" si="42"/>
        <v>0</v>
      </c>
      <c r="K495" s="512"/>
      <c r="L495" s="517"/>
      <c r="M495" s="512">
        <f t="shared" si="43"/>
        <v>0</v>
      </c>
      <c r="N495" s="517"/>
      <c r="O495" s="512">
        <f t="shared" si="44"/>
        <v>0</v>
      </c>
      <c r="P495" s="512">
        <f t="shared" si="45"/>
        <v>0</v>
      </c>
      <c r="Q495" s="473"/>
    </row>
    <row r="496" spans="3:17">
      <c r="C496" s="508">
        <f>IF(D440="","-",+C495+1)</f>
        <v>2065</v>
      </c>
      <c r="D496" s="471">
        <f t="shared" si="46"/>
        <v>0</v>
      </c>
      <c r="E496" s="515">
        <f t="shared" si="47"/>
        <v>0</v>
      </c>
      <c r="F496" s="515">
        <f t="shared" si="40"/>
        <v>0</v>
      </c>
      <c r="G496" s="471">
        <f t="shared" si="41"/>
        <v>0</v>
      </c>
      <c r="H496" s="509">
        <f>+J441*G496+E496</f>
        <v>0</v>
      </c>
      <c r="I496" s="516">
        <f>+J442*G496+E496</f>
        <v>0</v>
      </c>
      <c r="J496" s="512">
        <f t="shared" si="42"/>
        <v>0</v>
      </c>
      <c r="K496" s="512"/>
      <c r="L496" s="517"/>
      <c r="M496" s="512">
        <f t="shared" si="43"/>
        <v>0</v>
      </c>
      <c r="N496" s="517"/>
      <c r="O496" s="512">
        <f t="shared" si="44"/>
        <v>0</v>
      </c>
      <c r="P496" s="512">
        <f t="shared" si="45"/>
        <v>0</v>
      </c>
      <c r="Q496" s="473"/>
    </row>
    <row r="497" spans="3:17">
      <c r="C497" s="508">
        <f>IF(D440="","-",+C496+1)</f>
        <v>2066</v>
      </c>
      <c r="D497" s="471">
        <f t="shared" si="46"/>
        <v>0</v>
      </c>
      <c r="E497" s="515">
        <f t="shared" si="47"/>
        <v>0</v>
      </c>
      <c r="F497" s="515">
        <f t="shared" si="40"/>
        <v>0</v>
      </c>
      <c r="G497" s="471">
        <f t="shared" si="41"/>
        <v>0</v>
      </c>
      <c r="H497" s="509">
        <f>+J441*G497+E497</f>
        <v>0</v>
      </c>
      <c r="I497" s="516">
        <f>+J442*G497+E497</f>
        <v>0</v>
      </c>
      <c r="J497" s="512">
        <f t="shared" si="42"/>
        <v>0</v>
      </c>
      <c r="K497" s="512"/>
      <c r="L497" s="517"/>
      <c r="M497" s="512">
        <f t="shared" si="43"/>
        <v>0</v>
      </c>
      <c r="N497" s="517"/>
      <c r="O497" s="512">
        <f t="shared" si="44"/>
        <v>0</v>
      </c>
      <c r="P497" s="512">
        <f t="shared" si="45"/>
        <v>0</v>
      </c>
      <c r="Q497" s="473"/>
    </row>
    <row r="498" spans="3:17">
      <c r="C498" s="508">
        <f>IF(D440="","-",+C497+1)</f>
        <v>2067</v>
      </c>
      <c r="D498" s="471">
        <f t="shared" si="46"/>
        <v>0</v>
      </c>
      <c r="E498" s="515">
        <f t="shared" si="47"/>
        <v>0</v>
      </c>
      <c r="F498" s="515">
        <f t="shared" si="40"/>
        <v>0</v>
      </c>
      <c r="G498" s="471">
        <f t="shared" si="41"/>
        <v>0</v>
      </c>
      <c r="H498" s="509">
        <f>+J441*G498+E498</f>
        <v>0</v>
      </c>
      <c r="I498" s="516">
        <f>+J442*G498+E498</f>
        <v>0</v>
      </c>
      <c r="J498" s="512">
        <f t="shared" si="42"/>
        <v>0</v>
      </c>
      <c r="K498" s="512"/>
      <c r="L498" s="517"/>
      <c r="M498" s="512">
        <f t="shared" si="43"/>
        <v>0</v>
      </c>
      <c r="N498" s="517"/>
      <c r="O498" s="512">
        <f t="shared" si="44"/>
        <v>0</v>
      </c>
      <c r="P498" s="512">
        <f t="shared" si="45"/>
        <v>0</v>
      </c>
      <c r="Q498" s="473"/>
    </row>
    <row r="499" spans="3:17">
      <c r="C499" s="508">
        <f>IF(D440="","-",+C498+1)</f>
        <v>2068</v>
      </c>
      <c r="D499" s="471">
        <f t="shared" si="46"/>
        <v>0</v>
      </c>
      <c r="E499" s="515">
        <f t="shared" si="47"/>
        <v>0</v>
      </c>
      <c r="F499" s="515">
        <f t="shared" si="40"/>
        <v>0</v>
      </c>
      <c r="G499" s="471">
        <f t="shared" si="41"/>
        <v>0</v>
      </c>
      <c r="H499" s="509">
        <f>+J441*G499+E499</f>
        <v>0</v>
      </c>
      <c r="I499" s="516">
        <f>+J442*G499+E499</f>
        <v>0</v>
      </c>
      <c r="J499" s="512">
        <f t="shared" si="42"/>
        <v>0</v>
      </c>
      <c r="K499" s="512"/>
      <c r="L499" s="517"/>
      <c r="M499" s="512">
        <f t="shared" si="43"/>
        <v>0</v>
      </c>
      <c r="N499" s="517"/>
      <c r="O499" s="512">
        <f t="shared" si="44"/>
        <v>0</v>
      </c>
      <c r="P499" s="512">
        <f t="shared" si="45"/>
        <v>0</v>
      </c>
      <c r="Q499" s="473"/>
    </row>
    <row r="500" spans="3:17">
      <c r="C500" s="508">
        <f>IF(D440="","-",+C499+1)</f>
        <v>2069</v>
      </c>
      <c r="D500" s="471">
        <f t="shared" si="46"/>
        <v>0</v>
      </c>
      <c r="E500" s="515">
        <f t="shared" si="47"/>
        <v>0</v>
      </c>
      <c r="F500" s="515">
        <f t="shared" si="40"/>
        <v>0</v>
      </c>
      <c r="G500" s="471">
        <f t="shared" si="41"/>
        <v>0</v>
      </c>
      <c r="H500" s="509">
        <f>+J441*G500+E500</f>
        <v>0</v>
      </c>
      <c r="I500" s="516">
        <f>+J442*G500+E500</f>
        <v>0</v>
      </c>
      <c r="J500" s="512">
        <f t="shared" si="42"/>
        <v>0</v>
      </c>
      <c r="K500" s="512"/>
      <c r="L500" s="517"/>
      <c r="M500" s="512">
        <f t="shared" si="43"/>
        <v>0</v>
      </c>
      <c r="N500" s="517"/>
      <c r="O500" s="512">
        <f t="shared" si="44"/>
        <v>0</v>
      </c>
      <c r="P500" s="512">
        <f t="shared" si="45"/>
        <v>0</v>
      </c>
      <c r="Q500" s="473"/>
    </row>
    <row r="501" spans="3:17">
      <c r="C501" s="508">
        <f>IF(D440="","-",+C500+1)</f>
        <v>2070</v>
      </c>
      <c r="D501" s="471">
        <f t="shared" si="46"/>
        <v>0</v>
      </c>
      <c r="E501" s="515">
        <f t="shared" si="47"/>
        <v>0</v>
      </c>
      <c r="F501" s="515">
        <f t="shared" si="40"/>
        <v>0</v>
      </c>
      <c r="G501" s="471">
        <f t="shared" si="41"/>
        <v>0</v>
      </c>
      <c r="H501" s="509">
        <f>+J441*G501+E501</f>
        <v>0</v>
      </c>
      <c r="I501" s="516">
        <f>+J442*G501+E501</f>
        <v>0</v>
      </c>
      <c r="J501" s="512">
        <f t="shared" si="42"/>
        <v>0</v>
      </c>
      <c r="K501" s="512"/>
      <c r="L501" s="517"/>
      <c r="M501" s="512">
        <f t="shared" si="43"/>
        <v>0</v>
      </c>
      <c r="N501" s="517"/>
      <c r="O501" s="512">
        <f t="shared" si="44"/>
        <v>0</v>
      </c>
      <c r="P501" s="512">
        <f t="shared" si="45"/>
        <v>0</v>
      </c>
      <c r="Q501" s="473"/>
    </row>
    <row r="502" spans="3:17">
      <c r="C502" s="508">
        <f>IF(D440="","-",+C501+1)</f>
        <v>2071</v>
      </c>
      <c r="D502" s="471">
        <f t="shared" si="46"/>
        <v>0</v>
      </c>
      <c r="E502" s="515">
        <f t="shared" si="47"/>
        <v>0</v>
      </c>
      <c r="F502" s="515">
        <f t="shared" si="40"/>
        <v>0</v>
      </c>
      <c r="G502" s="471">
        <f t="shared" si="41"/>
        <v>0</v>
      </c>
      <c r="H502" s="509">
        <f>+J441*G502+E502</f>
        <v>0</v>
      </c>
      <c r="I502" s="516">
        <f>+J442*G502+E502</f>
        <v>0</v>
      </c>
      <c r="J502" s="512">
        <f t="shared" si="42"/>
        <v>0</v>
      </c>
      <c r="K502" s="512"/>
      <c r="L502" s="517"/>
      <c r="M502" s="512">
        <f t="shared" si="43"/>
        <v>0</v>
      </c>
      <c r="N502" s="517"/>
      <c r="O502" s="512">
        <f t="shared" si="44"/>
        <v>0</v>
      </c>
      <c r="P502" s="512">
        <f t="shared" si="45"/>
        <v>0</v>
      </c>
      <c r="Q502" s="473"/>
    </row>
    <row r="503" spans="3:17">
      <c r="C503" s="508">
        <f>IF(D440="","-",+C502+1)</f>
        <v>2072</v>
      </c>
      <c r="D503" s="471">
        <f t="shared" si="46"/>
        <v>0</v>
      </c>
      <c r="E503" s="515">
        <f t="shared" si="47"/>
        <v>0</v>
      </c>
      <c r="F503" s="515">
        <f t="shared" si="40"/>
        <v>0</v>
      </c>
      <c r="G503" s="471">
        <f t="shared" si="41"/>
        <v>0</v>
      </c>
      <c r="H503" s="509">
        <f>+J441*G503+E503</f>
        <v>0</v>
      </c>
      <c r="I503" s="516">
        <f>+J442*G503+E503</f>
        <v>0</v>
      </c>
      <c r="J503" s="512">
        <f t="shared" si="42"/>
        <v>0</v>
      </c>
      <c r="K503" s="512"/>
      <c r="L503" s="517"/>
      <c r="M503" s="512">
        <f t="shared" si="43"/>
        <v>0</v>
      </c>
      <c r="N503" s="517"/>
      <c r="O503" s="512">
        <f t="shared" si="44"/>
        <v>0</v>
      </c>
      <c r="P503" s="512">
        <f t="shared" si="45"/>
        <v>0</v>
      </c>
      <c r="Q503" s="473"/>
    </row>
    <row r="504" spans="3:17">
      <c r="C504" s="508">
        <f>IF(D440="","-",+C503+1)</f>
        <v>2073</v>
      </c>
      <c r="D504" s="471">
        <f t="shared" si="46"/>
        <v>0</v>
      </c>
      <c r="E504" s="515">
        <f t="shared" si="47"/>
        <v>0</v>
      </c>
      <c r="F504" s="515">
        <f t="shared" si="40"/>
        <v>0</v>
      </c>
      <c r="G504" s="471">
        <f t="shared" si="41"/>
        <v>0</v>
      </c>
      <c r="H504" s="509">
        <f>+J441*G504+E504</f>
        <v>0</v>
      </c>
      <c r="I504" s="516">
        <f>+J442*G504+E504</f>
        <v>0</v>
      </c>
      <c r="J504" s="512">
        <f t="shared" si="42"/>
        <v>0</v>
      </c>
      <c r="K504" s="512"/>
      <c r="L504" s="517"/>
      <c r="M504" s="512">
        <f t="shared" si="43"/>
        <v>0</v>
      </c>
      <c r="N504" s="517"/>
      <c r="O504" s="512">
        <f t="shared" si="44"/>
        <v>0</v>
      </c>
      <c r="P504" s="512">
        <f t="shared" si="45"/>
        <v>0</v>
      </c>
      <c r="Q504" s="473"/>
    </row>
    <row r="505" spans="3:17" ht="13.5" thickBot="1">
      <c r="C505" s="520">
        <f>IF(D440="","-",+C504+1)</f>
        <v>2074</v>
      </c>
      <c r="D505" s="521">
        <f t="shared" si="46"/>
        <v>0</v>
      </c>
      <c r="E505" s="522">
        <f t="shared" si="47"/>
        <v>0</v>
      </c>
      <c r="F505" s="522">
        <f t="shared" si="40"/>
        <v>0</v>
      </c>
      <c r="G505" s="521">
        <f t="shared" si="41"/>
        <v>0</v>
      </c>
      <c r="H505" s="523">
        <f>+J441*G505+E505</f>
        <v>0</v>
      </c>
      <c r="I505" s="523">
        <f>+J442*G505+E505</f>
        <v>0</v>
      </c>
      <c r="J505" s="524">
        <f t="shared" si="42"/>
        <v>0</v>
      </c>
      <c r="K505" s="512"/>
      <c r="L505" s="525"/>
      <c r="M505" s="524">
        <f t="shared" si="43"/>
        <v>0</v>
      </c>
      <c r="N505" s="525"/>
      <c r="O505" s="524">
        <f t="shared" si="44"/>
        <v>0</v>
      </c>
      <c r="P505" s="524">
        <f t="shared" si="45"/>
        <v>0</v>
      </c>
      <c r="Q505" s="473"/>
    </row>
    <row r="506" spans="3:17">
      <c r="C506" s="471" t="s">
        <v>288</v>
      </c>
      <c r="D506" s="469"/>
      <c r="E506" s="469">
        <f>SUM(E446:E505)</f>
        <v>15164190.770000001</v>
      </c>
      <c r="F506" s="469"/>
      <c r="G506" s="469"/>
      <c r="H506" s="469">
        <f>SUM(H446:H505)</f>
        <v>50946799.967193596</v>
      </c>
      <c r="I506" s="469">
        <f>SUM(I446:I505)</f>
        <v>50946799.967193596</v>
      </c>
      <c r="J506" s="469">
        <f>SUM(J446:J505)</f>
        <v>0</v>
      </c>
      <c r="K506" s="469"/>
      <c r="L506" s="469"/>
      <c r="M506" s="469"/>
      <c r="N506" s="469"/>
      <c r="O506" s="469"/>
      <c r="Q506" s="469"/>
    </row>
    <row r="507" spans="3:17">
      <c r="D507" s="78"/>
      <c r="E507" s="4"/>
      <c r="F507" s="4"/>
      <c r="G507" s="4"/>
      <c r="H507" s="4"/>
      <c r="I507" s="454"/>
      <c r="J507" s="454"/>
      <c r="K507" s="469"/>
      <c r="L507" s="454"/>
      <c r="M507" s="454"/>
      <c r="N507" s="454"/>
      <c r="O507" s="454"/>
      <c r="Q507" s="469"/>
    </row>
    <row r="508" spans="3:17">
      <c r="C508" s="4" t="s">
        <v>600</v>
      </c>
      <c r="D508" s="78"/>
      <c r="E508" s="4"/>
      <c r="F508" s="4"/>
      <c r="G508" s="4"/>
      <c r="H508" s="4"/>
      <c r="I508" s="454"/>
      <c r="J508" s="454"/>
      <c r="K508" s="469"/>
      <c r="L508" s="454"/>
      <c r="M508" s="454"/>
      <c r="N508" s="454"/>
      <c r="O508" s="454"/>
      <c r="Q508" s="469"/>
    </row>
    <row r="509" spans="3:17">
      <c r="D509" s="78"/>
      <c r="E509" s="4"/>
      <c r="F509" s="4"/>
      <c r="G509" s="4"/>
      <c r="H509" s="4"/>
      <c r="I509" s="454"/>
      <c r="J509" s="454"/>
      <c r="K509" s="469"/>
      <c r="L509" s="454"/>
      <c r="M509" s="454"/>
      <c r="N509" s="454"/>
      <c r="O509" s="454"/>
      <c r="Q509" s="469"/>
    </row>
    <row r="510" spans="3:17">
      <c r="C510" s="4" t="s">
        <v>601</v>
      </c>
      <c r="D510" s="471"/>
      <c r="E510" s="471"/>
      <c r="F510" s="471"/>
      <c r="G510" s="471"/>
      <c r="H510" s="469"/>
      <c r="I510" s="469"/>
      <c r="J510" s="473"/>
      <c r="K510" s="473"/>
      <c r="L510" s="473"/>
      <c r="M510" s="473"/>
      <c r="N510" s="473"/>
      <c r="O510" s="473"/>
      <c r="Q510" s="473"/>
    </row>
    <row r="511" spans="3:17">
      <c r="C511" s="4" t="s">
        <v>476</v>
      </c>
      <c r="D511" s="471"/>
      <c r="E511" s="471"/>
      <c r="F511" s="471"/>
      <c r="G511" s="471"/>
      <c r="H511" s="469"/>
      <c r="I511" s="469"/>
      <c r="J511" s="473"/>
      <c r="K511" s="473"/>
      <c r="L511" s="473"/>
      <c r="M511" s="473"/>
      <c r="N511" s="473"/>
      <c r="O511" s="473"/>
      <c r="Q511" s="473"/>
    </row>
    <row r="512" spans="3:17">
      <c r="C512" s="4" t="s">
        <v>289</v>
      </c>
      <c r="D512" s="471"/>
      <c r="E512" s="471"/>
      <c r="F512" s="471"/>
      <c r="G512" s="471"/>
      <c r="H512" s="469"/>
      <c r="I512" s="469"/>
      <c r="J512" s="473"/>
      <c r="K512" s="473"/>
      <c r="L512" s="473"/>
      <c r="M512" s="473"/>
      <c r="N512" s="473"/>
      <c r="O512" s="473"/>
      <c r="Q512" s="473"/>
    </row>
    <row r="513" spans="1:17" ht="20.25">
      <c r="A513" s="413" t="s">
        <v>767</v>
      </c>
      <c r="B513" s="4"/>
      <c r="C513" s="4"/>
      <c r="D513" s="78"/>
      <c r="E513" s="4"/>
      <c r="F513" s="80"/>
      <c r="G513" s="80"/>
      <c r="H513" s="4"/>
      <c r="I513" s="454"/>
      <c r="L513" s="11"/>
      <c r="M513" s="11"/>
      <c r="N513" s="11"/>
      <c r="O513" s="11" t="str">
        <f>"Page "&amp;SUM(Q$3:Q513)&amp;" of "</f>
        <v xml:space="preserve">Page 7 of </v>
      </c>
      <c r="P513" s="414">
        <f>COUNT(Q$8:Q$58123)</f>
        <v>16</v>
      </c>
      <c r="Q513" s="544">
        <v>1</v>
      </c>
    </row>
    <row r="514" spans="1:17">
      <c r="B514" s="4"/>
      <c r="C514" s="4"/>
      <c r="D514" s="78"/>
      <c r="E514" s="4"/>
      <c r="F514" s="4"/>
      <c r="G514" s="4"/>
      <c r="H514" s="4"/>
      <c r="I514" s="454"/>
      <c r="J514" s="4"/>
      <c r="K514" s="4"/>
    </row>
    <row r="515" spans="1:17" ht="18">
      <c r="B515" s="415" t="s">
        <v>174</v>
      </c>
      <c r="C515" s="474" t="s">
        <v>290</v>
      </c>
      <c r="D515" s="78"/>
      <c r="E515" s="4"/>
      <c r="F515" s="4"/>
      <c r="G515" s="4"/>
      <c r="H515" s="4"/>
      <c r="I515" s="454"/>
      <c r="J515" s="454"/>
      <c r="K515" s="469"/>
      <c r="L515" s="454"/>
      <c r="M515" s="454"/>
      <c r="N515" s="454"/>
      <c r="O515" s="454"/>
      <c r="Q515" s="469"/>
    </row>
    <row r="516" spans="1:17" ht="18.75">
      <c r="B516" s="415"/>
      <c r="C516" s="13"/>
      <c r="D516" s="78"/>
      <c r="E516" s="4"/>
      <c r="F516" s="4"/>
      <c r="G516" s="4"/>
      <c r="H516" s="4"/>
      <c r="I516" s="454"/>
      <c r="J516" s="454"/>
      <c r="K516" s="469"/>
      <c r="L516" s="454"/>
      <c r="M516" s="454"/>
      <c r="N516" s="454"/>
      <c r="O516" s="454"/>
      <c r="Q516" s="469"/>
    </row>
    <row r="517" spans="1:17" ht="18.75">
      <c r="B517" s="415"/>
      <c r="C517" s="13" t="s">
        <v>291</v>
      </c>
      <c r="D517" s="78"/>
      <c r="E517" s="4"/>
      <c r="F517" s="4"/>
      <c r="G517" s="4"/>
      <c r="H517" s="4"/>
      <c r="I517" s="454"/>
      <c r="J517" s="454"/>
      <c r="K517" s="469"/>
      <c r="L517" s="454"/>
      <c r="M517" s="454"/>
      <c r="N517" s="454"/>
      <c r="O517" s="454"/>
      <c r="Q517" s="469"/>
    </row>
    <row r="518" spans="1:17" ht="15.75" thickBot="1">
      <c r="C518" s="250"/>
      <c r="D518" s="78"/>
      <c r="E518" s="4"/>
      <c r="F518" s="4"/>
      <c r="G518" s="4"/>
      <c r="H518" s="4"/>
      <c r="I518" s="454"/>
      <c r="J518" s="454"/>
      <c r="K518" s="469"/>
      <c r="L518" s="454"/>
      <c r="M518" s="454"/>
      <c r="N518" s="454"/>
      <c r="O518" s="454"/>
      <c r="Q518" s="469"/>
    </row>
    <row r="519" spans="1:17" ht="15.75">
      <c r="C519" s="416" t="s">
        <v>292</v>
      </c>
      <c r="D519" s="78"/>
      <c r="E519" s="4"/>
      <c r="F519" s="4"/>
      <c r="G519" s="4"/>
      <c r="H519" s="642"/>
      <c r="I519" s="4" t="s">
        <v>271</v>
      </c>
      <c r="J519" s="4"/>
      <c r="K519" s="4"/>
      <c r="L519" s="545">
        <f>+J525</f>
        <v>2025</v>
      </c>
      <c r="M519" s="529" t="s">
        <v>254</v>
      </c>
      <c r="N519" s="529" t="s">
        <v>255</v>
      </c>
      <c r="O519" s="530" t="s">
        <v>256</v>
      </c>
    </row>
    <row r="520" spans="1:17" ht="15.75">
      <c r="C520" s="416"/>
      <c r="D520" s="78"/>
      <c r="E520" s="4"/>
      <c r="F520" s="4"/>
      <c r="H520" s="4"/>
      <c r="I520" s="478"/>
      <c r="J520" s="478"/>
      <c r="K520" s="479"/>
      <c r="L520" s="546" t="s">
        <v>455</v>
      </c>
      <c r="M520" s="547">
        <f>VLOOKUP(J525,C532:P591,10)</f>
        <v>381980.78033029573</v>
      </c>
      <c r="N520" s="547">
        <f>VLOOKUP(J525,C532:P591,12)</f>
        <v>381980.78033029573</v>
      </c>
      <c r="O520" s="548">
        <f>+N520-M520</f>
        <v>0</v>
      </c>
      <c r="Q520" s="479"/>
    </row>
    <row r="521" spans="1:17">
      <c r="C521" s="481" t="s">
        <v>293</v>
      </c>
      <c r="D521" s="1304" t="s">
        <v>934</v>
      </c>
      <c r="E521" s="1304"/>
      <c r="F521" s="1304"/>
      <c r="G521" s="1304"/>
      <c r="H521" s="1304"/>
      <c r="I521" s="454"/>
      <c r="J521" s="454"/>
      <c r="K521" s="469"/>
      <c r="L521" s="546" t="s">
        <v>456</v>
      </c>
      <c r="M521" s="549">
        <f>VLOOKUP(J525,C532:P591,6)</f>
        <v>382279.64597322058</v>
      </c>
      <c r="N521" s="549">
        <f>VLOOKUP(J525,C532:P591,7)</f>
        <v>382279.64597322058</v>
      </c>
      <c r="O521" s="550">
        <f>+N521-M521</f>
        <v>0</v>
      </c>
      <c r="Q521" s="469"/>
    </row>
    <row r="522" spans="1:17" ht="13.5" thickBot="1">
      <c r="C522" s="483"/>
      <c r="D522" s="484"/>
      <c r="E522" s="471"/>
      <c r="F522" s="471"/>
      <c r="G522" s="471"/>
      <c r="H522" s="485"/>
      <c r="I522" s="454"/>
      <c r="J522" s="454"/>
      <c r="K522" s="469"/>
      <c r="L522" s="495" t="s">
        <v>457</v>
      </c>
      <c r="M522" s="551">
        <f>+M521-M520</f>
        <v>298.86564292485127</v>
      </c>
      <c r="N522" s="551">
        <f>+N521-N520</f>
        <v>298.86564292485127</v>
      </c>
      <c r="O522" s="552">
        <f>+O521-O520</f>
        <v>0</v>
      </c>
      <c r="Q522" s="469"/>
    </row>
    <row r="523" spans="1:17" ht="13.5" thickBot="1">
      <c r="C523" s="483"/>
      <c r="D523" s="4"/>
      <c r="E523" s="485"/>
      <c r="F523" s="485"/>
      <c r="G523" s="485"/>
      <c r="H523" s="485"/>
      <c r="I523" s="485"/>
      <c r="J523" s="485"/>
      <c r="K523" s="485"/>
      <c r="L523" s="485"/>
      <c r="M523" s="485"/>
      <c r="N523" s="485"/>
      <c r="O523" s="485"/>
      <c r="Q523" s="485"/>
    </row>
    <row r="524" spans="1:17" ht="13.5" thickBot="1">
      <c r="C524" s="487" t="s">
        <v>294</v>
      </c>
      <c r="D524" s="488"/>
      <c r="E524" s="488"/>
      <c r="F524" s="488"/>
      <c r="G524" s="488"/>
      <c r="H524" s="488"/>
      <c r="I524" s="488"/>
      <c r="J524" s="488"/>
      <c r="Q524"/>
    </row>
    <row r="525" spans="1:17" ht="15">
      <c r="A525" s="486"/>
      <c r="C525" s="490" t="s">
        <v>272</v>
      </c>
      <c r="D525" s="941">
        <v>3429372.0402000002</v>
      </c>
      <c r="E525" s="4" t="s">
        <v>273</v>
      </c>
      <c r="H525" s="78"/>
      <c r="I525" s="78"/>
      <c r="J525" s="491">
        <f>$J$95</f>
        <v>2025</v>
      </c>
      <c r="K525" s="134"/>
      <c r="L525" s="1305" t="s">
        <v>274</v>
      </c>
      <c r="M525" s="1305"/>
      <c r="N525" s="1305"/>
      <c r="O525" s="1305"/>
      <c r="Q525" s="134"/>
    </row>
    <row r="526" spans="1:17">
      <c r="A526" s="486"/>
      <c r="C526" s="490" t="s">
        <v>275</v>
      </c>
      <c r="D526" s="644">
        <v>2016</v>
      </c>
      <c r="E526" s="490" t="s">
        <v>276</v>
      </c>
      <c r="F526" s="78"/>
      <c r="G526" s="78"/>
      <c r="I526"/>
      <c r="J526" s="647">
        <v>0</v>
      </c>
      <c r="K526" s="492"/>
      <c r="L526" s="469" t="s">
        <v>475</v>
      </c>
      <c r="Q526" s="492"/>
    </row>
    <row r="527" spans="1:17">
      <c r="A527" s="486"/>
      <c r="C527" s="490" t="s">
        <v>277</v>
      </c>
      <c r="D527" s="942">
        <v>11</v>
      </c>
      <c r="E527" s="490" t="s">
        <v>278</v>
      </c>
      <c r="F527" s="78"/>
      <c r="G527" s="78"/>
      <c r="I527"/>
      <c r="J527" s="493">
        <f>$F$70</f>
        <v>0.11017952320434825</v>
      </c>
      <c r="K527" s="80"/>
      <c r="L527" s="4" t="str">
        <f>"          INPUT TRUE-UP ARR (WITH &amp; WITHOUT INCENTIVES) FROM EACH PRIOR YEAR"</f>
        <v xml:space="preserve">          INPUT TRUE-UP ARR (WITH &amp; WITHOUT INCENTIVES) FROM EACH PRIOR YEAR</v>
      </c>
      <c r="Q527" s="80"/>
    </row>
    <row r="528" spans="1:17">
      <c r="A528" s="486"/>
      <c r="C528" s="490" t="s">
        <v>279</v>
      </c>
      <c r="D528" s="494">
        <f>H79</f>
        <v>42</v>
      </c>
      <c r="E528" s="490" t="s">
        <v>280</v>
      </c>
      <c r="F528" s="78"/>
      <c r="G528" s="78"/>
      <c r="I528"/>
      <c r="J528" s="493">
        <f>IF(H519="",J527,$F$69)</f>
        <v>0.11017952320434825</v>
      </c>
      <c r="K528" s="80"/>
      <c r="L528" s="4" t="s">
        <v>362</v>
      </c>
      <c r="M528" s="80"/>
      <c r="N528" s="80"/>
      <c r="O528" s="80"/>
      <c r="Q528" s="80"/>
    </row>
    <row r="529" spans="1:17" ht="13.5" thickBot="1">
      <c r="A529" s="486"/>
      <c r="C529" s="490" t="s">
        <v>281</v>
      </c>
      <c r="D529" s="646" t="s">
        <v>929</v>
      </c>
      <c r="E529" s="495" t="s">
        <v>282</v>
      </c>
      <c r="F529" s="496"/>
      <c r="G529" s="496"/>
      <c r="H529" s="497"/>
      <c r="I529" s="497"/>
      <c r="J529" s="482">
        <f>IF(D525=0,0,D525/D528)</f>
        <v>81651.715242857143</v>
      </c>
      <c r="K529" s="469"/>
      <c r="L529" s="469" t="s">
        <v>363</v>
      </c>
      <c r="M529" s="469"/>
      <c r="N529" s="469"/>
      <c r="O529" s="469"/>
      <c r="Q529" s="469"/>
    </row>
    <row r="530" spans="1:17" ht="38.25">
      <c r="A530" s="12"/>
      <c r="B530" s="12"/>
      <c r="C530" s="498" t="s">
        <v>272</v>
      </c>
      <c r="D530" s="499" t="s">
        <v>283</v>
      </c>
      <c r="E530" s="500" t="s">
        <v>284</v>
      </c>
      <c r="F530" s="499" t="s">
        <v>285</v>
      </c>
      <c r="G530" s="499" t="s">
        <v>458</v>
      </c>
      <c r="H530" s="500" t="s">
        <v>356</v>
      </c>
      <c r="I530" s="501" t="s">
        <v>356</v>
      </c>
      <c r="J530" s="498" t="s">
        <v>295</v>
      </c>
      <c r="K530" s="502"/>
      <c r="L530" s="500" t="s">
        <v>358</v>
      </c>
      <c r="M530" s="500" t="s">
        <v>364</v>
      </c>
      <c r="N530" s="500" t="s">
        <v>358</v>
      </c>
      <c r="O530" s="500" t="s">
        <v>366</v>
      </c>
      <c r="P530" s="500" t="s">
        <v>286</v>
      </c>
      <c r="Q530" s="127"/>
    </row>
    <row r="531" spans="1:17" ht="13.5" thickBot="1">
      <c r="C531" s="503" t="s">
        <v>177</v>
      </c>
      <c r="D531" s="504" t="s">
        <v>178</v>
      </c>
      <c r="E531" s="503" t="s">
        <v>37</v>
      </c>
      <c r="F531" s="504" t="s">
        <v>178</v>
      </c>
      <c r="G531" s="504" t="s">
        <v>178</v>
      </c>
      <c r="H531" s="505" t="s">
        <v>298</v>
      </c>
      <c r="I531" s="506" t="s">
        <v>300</v>
      </c>
      <c r="J531" s="503" t="s">
        <v>389</v>
      </c>
      <c r="K531" s="507"/>
      <c r="L531" s="505" t="s">
        <v>287</v>
      </c>
      <c r="M531" s="505" t="s">
        <v>287</v>
      </c>
      <c r="N531" s="505" t="s">
        <v>467</v>
      </c>
      <c r="O531" s="505" t="s">
        <v>467</v>
      </c>
      <c r="P531" s="505" t="s">
        <v>467</v>
      </c>
      <c r="Q531" s="134"/>
    </row>
    <row r="532" spans="1:17">
      <c r="C532" s="508">
        <f>IF(D526= "","-",D526)</f>
        <v>2016</v>
      </c>
      <c r="D532" s="471">
        <f>+D525</f>
        <v>3429372.0402000002</v>
      </c>
      <c r="E532" s="509">
        <f>+J529/12*(12-D527)</f>
        <v>6804.3096035714289</v>
      </c>
      <c r="F532" s="553">
        <f t="shared" ref="F532:F591" si="48">+D532-E532</f>
        <v>3422567.7305964287</v>
      </c>
      <c r="G532" s="471">
        <f t="shared" ref="G532:G591" si="49">+(D532+F532)/2</f>
        <v>3425969.8853982147</v>
      </c>
      <c r="H532" s="510">
        <f>+J527*G532+E532</f>
        <v>384276.03808920231</v>
      </c>
      <c r="I532" s="511">
        <f>+J528*G532+E532</f>
        <v>384276.03808920231</v>
      </c>
      <c r="J532" s="512">
        <f t="shared" ref="J532:J591" si="50">+I532-H532</f>
        <v>0</v>
      </c>
      <c r="K532" s="512"/>
      <c r="L532" s="513">
        <v>8871247</v>
      </c>
      <c r="M532" s="554">
        <f t="shared" ref="M532:M591" si="51">IF(L532&lt;&gt;0,+H532-L532,0)</f>
        <v>-8486970.9619107973</v>
      </c>
      <c r="N532" s="513">
        <v>8871247</v>
      </c>
      <c r="O532" s="554">
        <f t="shared" ref="O532:O591" si="52">IF(N532&lt;&gt;0,+I532-N532,0)</f>
        <v>-8486970.9619107973</v>
      </c>
      <c r="P532" s="554">
        <f t="shared" ref="P532:P591" si="53">+O532-M532</f>
        <v>0</v>
      </c>
      <c r="Q532" s="473"/>
    </row>
    <row r="533" spans="1:17">
      <c r="C533" s="508">
        <f>IF(D526="","-",+C532+1)</f>
        <v>2017</v>
      </c>
      <c r="D533" s="471">
        <f t="shared" ref="D533:D591" si="54">F532</f>
        <v>3422567.7305964287</v>
      </c>
      <c r="E533" s="515">
        <f>IF(D533&gt;$J$529,$J$529,D533)</f>
        <v>81651.715242857143</v>
      </c>
      <c r="F533" s="515">
        <f t="shared" si="48"/>
        <v>3340916.0153535716</v>
      </c>
      <c r="G533" s="471">
        <f t="shared" si="49"/>
        <v>3381741.8729750002</v>
      </c>
      <c r="H533" s="509">
        <f>+J527*G533+E533</f>
        <v>454250.42240742233</v>
      </c>
      <c r="I533" s="516">
        <f>+J528*G533+E533</f>
        <v>454250.42240742233</v>
      </c>
      <c r="J533" s="512">
        <f t="shared" si="50"/>
        <v>0</v>
      </c>
      <c r="K533" s="512"/>
      <c r="L533" s="517">
        <v>8889735</v>
      </c>
      <c r="M533" s="512">
        <f t="shared" si="51"/>
        <v>-8435484.5775925778</v>
      </c>
      <c r="N533" s="517">
        <v>8889735</v>
      </c>
      <c r="O533" s="512">
        <f t="shared" si="52"/>
        <v>-8435484.5775925778</v>
      </c>
      <c r="P533" s="512">
        <f t="shared" si="53"/>
        <v>0</v>
      </c>
      <c r="Q533" s="473"/>
    </row>
    <row r="534" spans="1:17">
      <c r="C534" s="508">
        <f>IF(D526="","-",+C533+1)</f>
        <v>2018</v>
      </c>
      <c r="D534" s="471">
        <f t="shared" si="54"/>
        <v>3340916.0153535716</v>
      </c>
      <c r="E534" s="515">
        <f t="shared" ref="E534:E591" si="55">IF(D534&gt;$J$529,$J$529,D534)</f>
        <v>81651.715242857143</v>
      </c>
      <c r="F534" s="515">
        <f t="shared" si="48"/>
        <v>3259264.3001107145</v>
      </c>
      <c r="G534" s="471">
        <f t="shared" si="49"/>
        <v>3300090.1577321431</v>
      </c>
      <c r="H534" s="509">
        <f>+J527*G534+E534</f>
        <v>445254.07535314711</v>
      </c>
      <c r="I534" s="516">
        <f>+J528*G534+E534</f>
        <v>445254.07535314711</v>
      </c>
      <c r="J534" s="512">
        <f t="shared" si="50"/>
        <v>0</v>
      </c>
      <c r="K534" s="512"/>
      <c r="L534" s="517">
        <v>1820478</v>
      </c>
      <c r="M534" s="512">
        <f t="shared" si="51"/>
        <v>-1375223.924646853</v>
      </c>
      <c r="N534" s="517">
        <v>1820478</v>
      </c>
      <c r="O534" s="512">
        <f t="shared" si="52"/>
        <v>-1375223.924646853</v>
      </c>
      <c r="P534" s="512">
        <f t="shared" si="53"/>
        <v>0</v>
      </c>
      <c r="Q534" s="473"/>
    </row>
    <row r="535" spans="1:17">
      <c r="C535" s="508">
        <f>IF(D526="","-",+C534+1)</f>
        <v>2019</v>
      </c>
      <c r="D535" s="955">
        <f t="shared" si="54"/>
        <v>3259264.3001107145</v>
      </c>
      <c r="E535" s="515">
        <f t="shared" si="55"/>
        <v>81651.715242857143</v>
      </c>
      <c r="F535" s="515">
        <f t="shared" si="48"/>
        <v>3177612.5848678574</v>
      </c>
      <c r="G535" s="471">
        <f t="shared" si="49"/>
        <v>3218438.442489286</v>
      </c>
      <c r="H535" s="509">
        <f>+J527*G535+E535</f>
        <v>436257.72829887189</v>
      </c>
      <c r="I535" s="516">
        <f>+J528*G535+E535</f>
        <v>436257.72829887189</v>
      </c>
      <c r="J535" s="512">
        <f t="shared" si="50"/>
        <v>0</v>
      </c>
      <c r="K535" s="512"/>
      <c r="L535" s="517">
        <v>403595</v>
      </c>
      <c r="M535" s="512">
        <f t="shared" si="51"/>
        <v>32662.728298871894</v>
      </c>
      <c r="N535" s="517">
        <v>403595</v>
      </c>
      <c r="O535" s="512">
        <f t="shared" si="52"/>
        <v>32662.728298871894</v>
      </c>
      <c r="P535" s="512">
        <f t="shared" si="53"/>
        <v>0</v>
      </c>
      <c r="Q535" s="473"/>
    </row>
    <row r="536" spans="1:17">
      <c r="C536" s="508">
        <f>IF(D526="","-",+C535+1)</f>
        <v>2020</v>
      </c>
      <c r="D536" s="955">
        <f t="shared" si="54"/>
        <v>3177612.5848678574</v>
      </c>
      <c r="E536" s="515">
        <f t="shared" si="55"/>
        <v>81651.715242857143</v>
      </c>
      <c r="F536" s="515">
        <f t="shared" si="48"/>
        <v>3095960.8696250003</v>
      </c>
      <c r="G536" s="471">
        <f t="shared" si="49"/>
        <v>3136786.7272464288</v>
      </c>
      <c r="H536" s="509">
        <f>+J527*G536+E536</f>
        <v>427261.38124459668</v>
      </c>
      <c r="I536" s="516">
        <f>+J528*G536+E536</f>
        <v>427261.38124459668</v>
      </c>
      <c r="J536" s="512">
        <f t="shared" si="50"/>
        <v>0</v>
      </c>
      <c r="K536" s="512"/>
      <c r="L536" s="517">
        <v>387035.1088908845</v>
      </c>
      <c r="M536" s="512">
        <f t="shared" si="51"/>
        <v>40226.272353712178</v>
      </c>
      <c r="N536" s="517">
        <v>387035.1088908845</v>
      </c>
      <c r="O536" s="512">
        <f t="shared" si="52"/>
        <v>40226.272353712178</v>
      </c>
      <c r="P536" s="512">
        <f t="shared" si="53"/>
        <v>0</v>
      </c>
      <c r="Q536" s="473"/>
    </row>
    <row r="537" spans="1:17">
      <c r="C537" s="508">
        <f>IF(D526="","-",+C536+1)</f>
        <v>2021</v>
      </c>
      <c r="D537" s="471">
        <f t="shared" si="54"/>
        <v>3095960.8696250003</v>
      </c>
      <c r="E537" s="515">
        <f t="shared" si="55"/>
        <v>81651.715242857143</v>
      </c>
      <c r="F537" s="515">
        <f t="shared" si="48"/>
        <v>3014309.1543821432</v>
      </c>
      <c r="G537" s="471">
        <f t="shared" si="49"/>
        <v>3055135.0120035717</v>
      </c>
      <c r="H537" s="509">
        <f>+J527*G537+E537</f>
        <v>418265.03419032146</v>
      </c>
      <c r="I537" s="516">
        <f>+J528*G537+E537</f>
        <v>418265.03419032146</v>
      </c>
      <c r="J537" s="512">
        <f t="shared" si="50"/>
        <v>0</v>
      </c>
      <c r="K537" s="512"/>
      <c r="L537" s="517">
        <v>393734.6892223304</v>
      </c>
      <c r="M537" s="512">
        <f t="shared" si="51"/>
        <v>24530.344967991055</v>
      </c>
      <c r="N537" s="517">
        <v>393734.6892223304</v>
      </c>
      <c r="O537" s="512">
        <f t="shared" si="52"/>
        <v>24530.344967991055</v>
      </c>
      <c r="P537" s="512">
        <f t="shared" si="53"/>
        <v>0</v>
      </c>
      <c r="Q537" s="473"/>
    </row>
    <row r="538" spans="1:17">
      <c r="C538" s="508">
        <f>IF(D526="","-",+C537+1)</f>
        <v>2022</v>
      </c>
      <c r="D538" s="471">
        <f t="shared" si="54"/>
        <v>3014309.1543821432</v>
      </c>
      <c r="E538" s="515">
        <f t="shared" si="55"/>
        <v>81651.715242857143</v>
      </c>
      <c r="F538" s="515">
        <f t="shared" si="48"/>
        <v>2932657.4391392861</v>
      </c>
      <c r="G538" s="471">
        <f t="shared" si="49"/>
        <v>2973483.2967607146</v>
      </c>
      <c r="H538" s="509">
        <f>+J527*G538+E538</f>
        <v>409268.68713604624</v>
      </c>
      <c r="I538" s="516">
        <f>+J528*G538+E538</f>
        <v>409268.68713604624</v>
      </c>
      <c r="J538" s="512">
        <f t="shared" si="50"/>
        <v>0</v>
      </c>
      <c r="K538" s="512"/>
      <c r="L538" s="517">
        <v>389204.51224864495</v>
      </c>
      <c r="M538" s="512">
        <f t="shared" si="51"/>
        <v>20064.174887401285</v>
      </c>
      <c r="N538" s="517">
        <v>389204.51224864495</v>
      </c>
      <c r="O538" s="512">
        <f t="shared" si="52"/>
        <v>20064.174887401285</v>
      </c>
      <c r="P538" s="512">
        <f t="shared" si="53"/>
        <v>0</v>
      </c>
      <c r="Q538" s="473"/>
    </row>
    <row r="539" spans="1:17">
      <c r="C539" s="508">
        <f>IF(D526="","-",+C538+1)</f>
        <v>2023</v>
      </c>
      <c r="D539" s="471">
        <f t="shared" si="54"/>
        <v>2932657.4391392861</v>
      </c>
      <c r="E539" s="515">
        <f t="shared" si="55"/>
        <v>81651.715242857143</v>
      </c>
      <c r="F539" s="515">
        <f t="shared" si="48"/>
        <v>2851005.7238964289</v>
      </c>
      <c r="G539" s="471">
        <f t="shared" si="49"/>
        <v>2891831.5815178575</v>
      </c>
      <c r="H539" s="509">
        <f>+J527*G539+E539</f>
        <v>400272.34008177102</v>
      </c>
      <c r="I539" s="516">
        <f>+J528*G539+E539</f>
        <v>400272.34008177102</v>
      </c>
      <c r="J539" s="512">
        <f t="shared" si="50"/>
        <v>0</v>
      </c>
      <c r="K539" s="512"/>
      <c r="L539" s="517">
        <v>402834.34502748371</v>
      </c>
      <c r="M539" s="512">
        <f t="shared" si="51"/>
        <v>-2562.0049457126879</v>
      </c>
      <c r="N539" s="517">
        <v>402834.34502748371</v>
      </c>
      <c r="O539" s="512">
        <f t="shared" si="52"/>
        <v>-2562.0049457126879</v>
      </c>
      <c r="P539" s="512">
        <f t="shared" si="53"/>
        <v>0</v>
      </c>
      <c r="Q539" s="473"/>
    </row>
    <row r="540" spans="1:17">
      <c r="C540" s="508">
        <f>IF(D526="","-",+C539+1)</f>
        <v>2024</v>
      </c>
      <c r="D540" s="471">
        <f t="shared" si="54"/>
        <v>2851005.7238964289</v>
      </c>
      <c r="E540" s="515">
        <f t="shared" si="55"/>
        <v>81651.715242857143</v>
      </c>
      <c r="F540" s="515">
        <f t="shared" si="48"/>
        <v>2769354.0086535718</v>
      </c>
      <c r="G540" s="471">
        <f t="shared" si="49"/>
        <v>2810179.8662750004</v>
      </c>
      <c r="H540" s="509">
        <f>+J527*G540+E540</f>
        <v>391275.9930274958</v>
      </c>
      <c r="I540" s="516">
        <f>+J528*G540+E540</f>
        <v>391275.9930274958</v>
      </c>
      <c r="J540" s="512">
        <f t="shared" si="50"/>
        <v>0</v>
      </c>
      <c r="K540" s="512"/>
      <c r="L540" s="517">
        <v>389518.48406694492</v>
      </c>
      <c r="M540" s="512">
        <f t="shared" si="51"/>
        <v>1757.5089605508838</v>
      </c>
      <c r="N540" s="517">
        <v>389518.48406694492</v>
      </c>
      <c r="O540" s="512">
        <f t="shared" si="52"/>
        <v>1757.5089605508838</v>
      </c>
      <c r="P540" s="512">
        <f t="shared" si="53"/>
        <v>0</v>
      </c>
      <c r="Q540" s="473"/>
    </row>
    <row r="541" spans="1:17">
      <c r="C541" s="508">
        <f>IF(D526="","-",+C540+1)</f>
        <v>2025</v>
      </c>
      <c r="D541" s="471">
        <f t="shared" si="54"/>
        <v>2769354.0086535718</v>
      </c>
      <c r="E541" s="515">
        <f t="shared" si="55"/>
        <v>81651.715242857143</v>
      </c>
      <c r="F541" s="515">
        <f t="shared" si="48"/>
        <v>2687702.2934107147</v>
      </c>
      <c r="G541" s="471">
        <f t="shared" si="49"/>
        <v>2728528.1510321433</v>
      </c>
      <c r="H541" s="509">
        <f>+J527*G541+E541</f>
        <v>382279.64597322058</v>
      </c>
      <c r="I541" s="516">
        <f>+J528*G541+E541</f>
        <v>382279.64597322058</v>
      </c>
      <c r="J541" s="512">
        <f t="shared" si="50"/>
        <v>0</v>
      </c>
      <c r="K541" s="512"/>
      <c r="L541" s="517">
        <v>381980.78033029573</v>
      </c>
      <c r="M541" s="512">
        <f t="shared" si="51"/>
        <v>298.86564292485127</v>
      </c>
      <c r="N541" s="517">
        <v>381980.78033029573</v>
      </c>
      <c r="O541" s="512">
        <f t="shared" si="52"/>
        <v>298.86564292485127</v>
      </c>
      <c r="P541" s="512">
        <f t="shared" si="53"/>
        <v>0</v>
      </c>
      <c r="Q541" s="473"/>
    </row>
    <row r="542" spans="1:17">
      <c r="C542" s="508">
        <f>IF(D526="","-",+C541+1)</f>
        <v>2026</v>
      </c>
      <c r="D542" s="471">
        <f t="shared" si="54"/>
        <v>2687702.2934107147</v>
      </c>
      <c r="E542" s="515">
        <f t="shared" si="55"/>
        <v>81651.715242857143</v>
      </c>
      <c r="F542" s="515">
        <f t="shared" si="48"/>
        <v>2606050.5781678576</v>
      </c>
      <c r="G542" s="471">
        <f t="shared" si="49"/>
        <v>2646876.4357892862</v>
      </c>
      <c r="H542" s="509">
        <f>+J527*G542+E542</f>
        <v>373283.29891894537</v>
      </c>
      <c r="I542" s="516">
        <f>+J528*G542+E542</f>
        <v>373283.29891894537</v>
      </c>
      <c r="J542" s="512">
        <f t="shared" si="50"/>
        <v>0</v>
      </c>
      <c r="K542" s="512"/>
      <c r="L542" s="517">
        <v>0</v>
      </c>
      <c r="M542" s="512">
        <f t="shared" si="51"/>
        <v>0</v>
      </c>
      <c r="N542" s="517">
        <v>0</v>
      </c>
      <c r="O542" s="512">
        <f t="shared" si="52"/>
        <v>0</v>
      </c>
      <c r="P542" s="512">
        <f t="shared" si="53"/>
        <v>0</v>
      </c>
      <c r="Q542" s="473"/>
    </row>
    <row r="543" spans="1:17">
      <c r="C543" s="508">
        <f>IF(D526="","-",+C542+1)</f>
        <v>2027</v>
      </c>
      <c r="D543" s="471">
        <f t="shared" si="54"/>
        <v>2606050.5781678576</v>
      </c>
      <c r="E543" s="515">
        <f t="shared" si="55"/>
        <v>81651.715242857143</v>
      </c>
      <c r="F543" s="515">
        <f t="shared" si="48"/>
        <v>2524398.8629250005</v>
      </c>
      <c r="G543" s="471">
        <f t="shared" si="49"/>
        <v>2565224.720546429</v>
      </c>
      <c r="H543" s="509">
        <f>+J527*G543+E543</f>
        <v>364286.95186467015</v>
      </c>
      <c r="I543" s="516">
        <f>+J528*G543+E543</f>
        <v>364286.95186467015</v>
      </c>
      <c r="J543" s="512">
        <f t="shared" si="50"/>
        <v>0</v>
      </c>
      <c r="K543" s="512"/>
      <c r="L543" s="517"/>
      <c r="M543" s="512">
        <f t="shared" si="51"/>
        <v>0</v>
      </c>
      <c r="N543" s="517"/>
      <c r="O543" s="512">
        <f t="shared" si="52"/>
        <v>0</v>
      </c>
      <c r="P543" s="512">
        <f t="shared" si="53"/>
        <v>0</v>
      </c>
      <c r="Q543" s="473"/>
    </row>
    <row r="544" spans="1:17">
      <c r="C544" s="508">
        <f>IF(D526="","-",+C543+1)</f>
        <v>2028</v>
      </c>
      <c r="D544" s="471">
        <f t="shared" si="54"/>
        <v>2524398.8629250005</v>
      </c>
      <c r="E544" s="515">
        <f t="shared" si="55"/>
        <v>81651.715242857143</v>
      </c>
      <c r="F544" s="515">
        <f t="shared" si="48"/>
        <v>2442747.1476821434</v>
      </c>
      <c r="G544" s="471">
        <f t="shared" si="49"/>
        <v>2483573.0053035719</v>
      </c>
      <c r="H544" s="509">
        <f>+J527*G544+E544</f>
        <v>355290.60481039493</v>
      </c>
      <c r="I544" s="516">
        <f>+J528*G544+E544</f>
        <v>355290.60481039493</v>
      </c>
      <c r="J544" s="512">
        <f t="shared" si="50"/>
        <v>0</v>
      </c>
      <c r="K544" s="512"/>
      <c r="L544" s="517"/>
      <c r="M544" s="512">
        <f t="shared" si="51"/>
        <v>0</v>
      </c>
      <c r="N544" s="517"/>
      <c r="O544" s="512">
        <f t="shared" si="52"/>
        <v>0</v>
      </c>
      <c r="P544" s="512">
        <f t="shared" si="53"/>
        <v>0</v>
      </c>
      <c r="Q544" s="473"/>
    </row>
    <row r="545" spans="3:17">
      <c r="C545" s="508">
        <f>IF(D526="","-",+C544+1)</f>
        <v>2029</v>
      </c>
      <c r="D545" s="471">
        <f t="shared" si="54"/>
        <v>2442747.1476821434</v>
      </c>
      <c r="E545" s="515">
        <f t="shared" si="55"/>
        <v>81651.715242857143</v>
      </c>
      <c r="F545" s="515">
        <f t="shared" si="48"/>
        <v>2361095.4324392863</v>
      </c>
      <c r="G545" s="471">
        <f t="shared" si="49"/>
        <v>2401921.2900607148</v>
      </c>
      <c r="H545" s="509">
        <f>+J527*G545+E545</f>
        <v>346294.25775611971</v>
      </c>
      <c r="I545" s="516">
        <f>+J528*G545+E545</f>
        <v>346294.25775611971</v>
      </c>
      <c r="J545" s="512">
        <f t="shared" si="50"/>
        <v>0</v>
      </c>
      <c r="K545" s="512"/>
      <c r="L545" s="517"/>
      <c r="M545" s="512">
        <f t="shared" si="51"/>
        <v>0</v>
      </c>
      <c r="N545" s="517"/>
      <c r="O545" s="512">
        <f t="shared" si="52"/>
        <v>0</v>
      </c>
      <c r="P545" s="512">
        <f t="shared" si="53"/>
        <v>0</v>
      </c>
      <c r="Q545" s="473"/>
    </row>
    <row r="546" spans="3:17">
      <c r="C546" s="508">
        <f>IF(D526="","-",+C545+1)</f>
        <v>2030</v>
      </c>
      <c r="D546" s="471">
        <f t="shared" si="54"/>
        <v>2361095.4324392863</v>
      </c>
      <c r="E546" s="515">
        <f t="shared" si="55"/>
        <v>81651.715242857143</v>
      </c>
      <c r="F546" s="515">
        <f t="shared" si="48"/>
        <v>2279443.7171964291</v>
      </c>
      <c r="G546" s="471">
        <f t="shared" si="49"/>
        <v>2320269.5748178577</v>
      </c>
      <c r="H546" s="509">
        <f>+J527*G546+E546</f>
        <v>337297.91070184455</v>
      </c>
      <c r="I546" s="516">
        <f>+J528*G546+E546</f>
        <v>337297.91070184455</v>
      </c>
      <c r="J546" s="512">
        <f t="shared" si="50"/>
        <v>0</v>
      </c>
      <c r="K546" s="512"/>
      <c r="L546" s="517"/>
      <c r="M546" s="512">
        <f t="shared" si="51"/>
        <v>0</v>
      </c>
      <c r="N546" s="517"/>
      <c r="O546" s="512">
        <f t="shared" si="52"/>
        <v>0</v>
      </c>
      <c r="P546" s="512">
        <f t="shared" si="53"/>
        <v>0</v>
      </c>
      <c r="Q546" s="473"/>
    </row>
    <row r="547" spans="3:17">
      <c r="C547" s="508">
        <f>IF(D526="","-",+C546+1)</f>
        <v>2031</v>
      </c>
      <c r="D547" s="471">
        <f t="shared" si="54"/>
        <v>2279443.7171964291</v>
      </c>
      <c r="E547" s="515">
        <f t="shared" si="55"/>
        <v>81651.715242857143</v>
      </c>
      <c r="F547" s="515">
        <f t="shared" si="48"/>
        <v>2197792.001953572</v>
      </c>
      <c r="G547" s="471">
        <f t="shared" si="49"/>
        <v>2238617.8595750006</v>
      </c>
      <c r="H547" s="509">
        <f>+J527*G547+E547</f>
        <v>328301.56364756933</v>
      </c>
      <c r="I547" s="516">
        <f>+J528*G547+E547</f>
        <v>328301.56364756933</v>
      </c>
      <c r="J547" s="512">
        <f t="shared" si="50"/>
        <v>0</v>
      </c>
      <c r="K547" s="512"/>
      <c r="L547" s="517"/>
      <c r="M547" s="512">
        <f t="shared" si="51"/>
        <v>0</v>
      </c>
      <c r="N547" s="517"/>
      <c r="O547" s="512">
        <f t="shared" si="52"/>
        <v>0</v>
      </c>
      <c r="P547" s="512">
        <f t="shared" si="53"/>
        <v>0</v>
      </c>
      <c r="Q547" s="473"/>
    </row>
    <row r="548" spans="3:17">
      <c r="C548" s="508">
        <f>IF(D526="","-",+C547+1)</f>
        <v>2032</v>
      </c>
      <c r="D548" s="471">
        <f t="shared" si="54"/>
        <v>2197792.001953572</v>
      </c>
      <c r="E548" s="515">
        <f t="shared" si="55"/>
        <v>81651.715242857143</v>
      </c>
      <c r="F548" s="515">
        <f t="shared" si="48"/>
        <v>2116140.2867107149</v>
      </c>
      <c r="G548" s="471">
        <f t="shared" si="49"/>
        <v>2156966.1443321435</v>
      </c>
      <c r="H548" s="509">
        <f>+J527*G548+E548</f>
        <v>319305.21659329411</v>
      </c>
      <c r="I548" s="516">
        <f>+J528*G548+E548</f>
        <v>319305.21659329411</v>
      </c>
      <c r="J548" s="512">
        <f t="shared" si="50"/>
        <v>0</v>
      </c>
      <c r="K548" s="512"/>
      <c r="L548" s="517"/>
      <c r="M548" s="512">
        <f t="shared" si="51"/>
        <v>0</v>
      </c>
      <c r="N548" s="517"/>
      <c r="O548" s="512">
        <f t="shared" si="52"/>
        <v>0</v>
      </c>
      <c r="P548" s="512">
        <f t="shared" si="53"/>
        <v>0</v>
      </c>
      <c r="Q548" s="473"/>
    </row>
    <row r="549" spans="3:17">
      <c r="C549" s="508">
        <f>IF(D526="","-",+C548+1)</f>
        <v>2033</v>
      </c>
      <c r="D549" s="471">
        <f t="shared" si="54"/>
        <v>2116140.2867107149</v>
      </c>
      <c r="E549" s="515">
        <f t="shared" si="55"/>
        <v>81651.715242857143</v>
      </c>
      <c r="F549" s="515">
        <f t="shared" si="48"/>
        <v>2034488.5714678578</v>
      </c>
      <c r="G549" s="471">
        <f t="shared" si="49"/>
        <v>2075314.4290892864</v>
      </c>
      <c r="H549" s="509">
        <f>+J527*G549+E549</f>
        <v>310308.8695390189</v>
      </c>
      <c r="I549" s="516">
        <f>+J528*G549+E549</f>
        <v>310308.8695390189</v>
      </c>
      <c r="J549" s="512">
        <f t="shared" si="50"/>
        <v>0</v>
      </c>
      <c r="K549" s="512"/>
      <c r="L549" s="517"/>
      <c r="M549" s="512">
        <f t="shared" si="51"/>
        <v>0</v>
      </c>
      <c r="N549" s="517"/>
      <c r="O549" s="512">
        <f t="shared" si="52"/>
        <v>0</v>
      </c>
      <c r="P549" s="512">
        <f t="shared" si="53"/>
        <v>0</v>
      </c>
      <c r="Q549" s="473"/>
    </row>
    <row r="550" spans="3:17">
      <c r="C550" s="508">
        <f>IF(D526="","-",+C549+1)</f>
        <v>2034</v>
      </c>
      <c r="D550" s="471">
        <f t="shared" si="54"/>
        <v>2034488.5714678578</v>
      </c>
      <c r="E550" s="515">
        <f t="shared" si="55"/>
        <v>81651.715242857143</v>
      </c>
      <c r="F550" s="515">
        <f t="shared" si="48"/>
        <v>1952836.8562250007</v>
      </c>
      <c r="G550" s="471">
        <f t="shared" si="49"/>
        <v>1993662.7138464293</v>
      </c>
      <c r="H550" s="509">
        <f>+J527*G550+E550</f>
        <v>301312.52248474373</v>
      </c>
      <c r="I550" s="516">
        <f>+J528*G550+E550</f>
        <v>301312.52248474373</v>
      </c>
      <c r="J550" s="512">
        <f t="shared" si="50"/>
        <v>0</v>
      </c>
      <c r="K550" s="512"/>
      <c r="L550" s="517"/>
      <c r="M550" s="512">
        <f t="shared" si="51"/>
        <v>0</v>
      </c>
      <c r="N550" s="517"/>
      <c r="O550" s="512">
        <f t="shared" si="52"/>
        <v>0</v>
      </c>
      <c r="P550" s="512">
        <f t="shared" si="53"/>
        <v>0</v>
      </c>
      <c r="Q550" s="473"/>
    </row>
    <row r="551" spans="3:17">
      <c r="C551" s="508">
        <f>IF(D526="","-",+C550+1)</f>
        <v>2035</v>
      </c>
      <c r="D551" s="471">
        <f t="shared" si="54"/>
        <v>1952836.8562250007</v>
      </c>
      <c r="E551" s="515">
        <f t="shared" si="55"/>
        <v>81651.715242857143</v>
      </c>
      <c r="F551" s="515">
        <f t="shared" si="48"/>
        <v>1871185.1409821436</v>
      </c>
      <c r="G551" s="471">
        <f t="shared" si="49"/>
        <v>1912010.9986035721</v>
      </c>
      <c r="H551" s="509">
        <f>+J527*G551+E551</f>
        <v>292316.17543046852</v>
      </c>
      <c r="I551" s="516">
        <f>+J528*G551+E551</f>
        <v>292316.17543046852</v>
      </c>
      <c r="J551" s="512">
        <f t="shared" si="50"/>
        <v>0</v>
      </c>
      <c r="K551" s="512"/>
      <c r="L551" s="517"/>
      <c r="M551" s="512">
        <f t="shared" si="51"/>
        <v>0</v>
      </c>
      <c r="N551" s="517"/>
      <c r="O551" s="512">
        <f t="shared" si="52"/>
        <v>0</v>
      </c>
      <c r="P551" s="512">
        <f t="shared" si="53"/>
        <v>0</v>
      </c>
      <c r="Q551" s="473"/>
    </row>
    <row r="552" spans="3:17">
      <c r="C552" s="508">
        <f>IF(D526="","-",+C551+1)</f>
        <v>2036</v>
      </c>
      <c r="D552" s="471">
        <f t="shared" si="54"/>
        <v>1871185.1409821436</v>
      </c>
      <c r="E552" s="515">
        <f t="shared" si="55"/>
        <v>81651.715242857143</v>
      </c>
      <c r="F552" s="515">
        <f t="shared" si="48"/>
        <v>1789533.4257392865</v>
      </c>
      <c r="G552" s="471">
        <f t="shared" si="49"/>
        <v>1830359.283360715</v>
      </c>
      <c r="H552" s="509">
        <f>+J527*G552+E552</f>
        <v>283319.8283761933</v>
      </c>
      <c r="I552" s="516">
        <f>+J528*G552+E552</f>
        <v>283319.8283761933</v>
      </c>
      <c r="J552" s="512">
        <f t="shared" si="50"/>
        <v>0</v>
      </c>
      <c r="K552" s="512"/>
      <c r="L552" s="517"/>
      <c r="M552" s="512">
        <f t="shared" si="51"/>
        <v>0</v>
      </c>
      <c r="N552" s="517"/>
      <c r="O552" s="512">
        <f t="shared" si="52"/>
        <v>0</v>
      </c>
      <c r="P552" s="512">
        <f t="shared" si="53"/>
        <v>0</v>
      </c>
      <c r="Q552" s="473"/>
    </row>
    <row r="553" spans="3:17">
      <c r="C553" s="508">
        <f>IF(D526="","-",+C552+1)</f>
        <v>2037</v>
      </c>
      <c r="D553" s="471">
        <f t="shared" si="54"/>
        <v>1789533.4257392865</v>
      </c>
      <c r="E553" s="515">
        <f t="shared" si="55"/>
        <v>81651.715242857143</v>
      </c>
      <c r="F553" s="515">
        <f t="shared" si="48"/>
        <v>1707881.7104964294</v>
      </c>
      <c r="G553" s="471">
        <f t="shared" si="49"/>
        <v>1748707.5681178579</v>
      </c>
      <c r="H553" s="509">
        <f>+J527*G553+E553</f>
        <v>274323.48132191808</v>
      </c>
      <c r="I553" s="516">
        <f>+J528*G553+E553</f>
        <v>274323.48132191808</v>
      </c>
      <c r="J553" s="512">
        <f t="shared" si="50"/>
        <v>0</v>
      </c>
      <c r="K553" s="512"/>
      <c r="L553" s="517"/>
      <c r="M553" s="512">
        <f t="shared" si="51"/>
        <v>0</v>
      </c>
      <c r="N553" s="517"/>
      <c r="O553" s="512">
        <f t="shared" si="52"/>
        <v>0</v>
      </c>
      <c r="P553" s="512">
        <f t="shared" si="53"/>
        <v>0</v>
      </c>
      <c r="Q553" s="473"/>
    </row>
    <row r="554" spans="3:17">
      <c r="C554" s="508">
        <f>IF(D526="","-",+C553+1)</f>
        <v>2038</v>
      </c>
      <c r="D554" s="471">
        <f t="shared" si="54"/>
        <v>1707881.7104964294</v>
      </c>
      <c r="E554" s="515">
        <f t="shared" si="55"/>
        <v>81651.715242857143</v>
      </c>
      <c r="F554" s="515">
        <f t="shared" si="48"/>
        <v>1626229.9952535722</v>
      </c>
      <c r="G554" s="471">
        <f t="shared" si="49"/>
        <v>1667055.8528750008</v>
      </c>
      <c r="H554" s="509">
        <f>+J527*G554+E554</f>
        <v>265327.13426764286</v>
      </c>
      <c r="I554" s="516">
        <f>+J528*G554+E554</f>
        <v>265327.13426764286</v>
      </c>
      <c r="J554" s="512">
        <f t="shared" si="50"/>
        <v>0</v>
      </c>
      <c r="K554" s="512"/>
      <c r="L554" s="517"/>
      <c r="M554" s="512">
        <f t="shared" si="51"/>
        <v>0</v>
      </c>
      <c r="N554" s="517"/>
      <c r="O554" s="512">
        <f t="shared" si="52"/>
        <v>0</v>
      </c>
      <c r="P554" s="512">
        <f t="shared" si="53"/>
        <v>0</v>
      </c>
      <c r="Q554" s="473"/>
    </row>
    <row r="555" spans="3:17">
      <c r="C555" s="508">
        <f>IF(D526="","-",+C554+1)</f>
        <v>2039</v>
      </c>
      <c r="D555" s="471">
        <f t="shared" si="54"/>
        <v>1626229.9952535722</v>
      </c>
      <c r="E555" s="515">
        <f t="shared" si="55"/>
        <v>81651.715242857143</v>
      </c>
      <c r="F555" s="515">
        <f t="shared" si="48"/>
        <v>1544578.2800107151</v>
      </c>
      <c r="G555" s="471">
        <f t="shared" si="49"/>
        <v>1585404.1376321437</v>
      </c>
      <c r="H555" s="509">
        <f>+J527*G555+E555</f>
        <v>256330.78721336764</v>
      </c>
      <c r="I555" s="516">
        <f>+J528*G555+E555</f>
        <v>256330.78721336764</v>
      </c>
      <c r="J555" s="512">
        <f t="shared" si="50"/>
        <v>0</v>
      </c>
      <c r="K555" s="512"/>
      <c r="L555" s="517"/>
      <c r="M555" s="512">
        <f t="shared" si="51"/>
        <v>0</v>
      </c>
      <c r="N555" s="517"/>
      <c r="O555" s="512">
        <f t="shared" si="52"/>
        <v>0</v>
      </c>
      <c r="P555" s="512">
        <f t="shared" si="53"/>
        <v>0</v>
      </c>
      <c r="Q555" s="473"/>
    </row>
    <row r="556" spans="3:17">
      <c r="C556" s="508">
        <f>IF(D526="","-",+C555+1)</f>
        <v>2040</v>
      </c>
      <c r="D556" s="471">
        <f t="shared" si="54"/>
        <v>1544578.2800107151</v>
      </c>
      <c r="E556" s="515">
        <f t="shared" si="55"/>
        <v>81651.715242857143</v>
      </c>
      <c r="F556" s="515">
        <f t="shared" si="48"/>
        <v>1462926.564767858</v>
      </c>
      <c r="G556" s="471">
        <f t="shared" si="49"/>
        <v>1503752.4223892866</v>
      </c>
      <c r="H556" s="509">
        <f>+J527*G556+E556</f>
        <v>247334.44015909242</v>
      </c>
      <c r="I556" s="516">
        <f>+J528*G556+E556</f>
        <v>247334.44015909242</v>
      </c>
      <c r="J556" s="512">
        <f t="shared" si="50"/>
        <v>0</v>
      </c>
      <c r="K556" s="512"/>
      <c r="L556" s="517"/>
      <c r="M556" s="512">
        <f t="shared" si="51"/>
        <v>0</v>
      </c>
      <c r="N556" s="517"/>
      <c r="O556" s="512">
        <f t="shared" si="52"/>
        <v>0</v>
      </c>
      <c r="P556" s="512">
        <f t="shared" si="53"/>
        <v>0</v>
      </c>
      <c r="Q556" s="473"/>
    </row>
    <row r="557" spans="3:17">
      <c r="C557" s="508">
        <f>IF(D526="","-",+C556+1)</f>
        <v>2041</v>
      </c>
      <c r="D557" s="471">
        <f t="shared" si="54"/>
        <v>1462926.564767858</v>
      </c>
      <c r="E557" s="515">
        <f t="shared" si="55"/>
        <v>81651.715242857143</v>
      </c>
      <c r="F557" s="515">
        <f t="shared" si="48"/>
        <v>1381274.8495250009</v>
      </c>
      <c r="G557" s="471">
        <f t="shared" si="49"/>
        <v>1422100.7071464295</v>
      </c>
      <c r="H557" s="509">
        <f>+J527*G557+E557</f>
        <v>238338.09310481721</v>
      </c>
      <c r="I557" s="516">
        <f>+J528*G557+E557</f>
        <v>238338.09310481721</v>
      </c>
      <c r="J557" s="512">
        <f t="shared" si="50"/>
        <v>0</v>
      </c>
      <c r="K557" s="512"/>
      <c r="L557" s="517"/>
      <c r="M557" s="512">
        <f t="shared" si="51"/>
        <v>0</v>
      </c>
      <c r="N557" s="517"/>
      <c r="O557" s="512">
        <f t="shared" si="52"/>
        <v>0</v>
      </c>
      <c r="P557" s="512">
        <f t="shared" si="53"/>
        <v>0</v>
      </c>
      <c r="Q557" s="473"/>
    </row>
    <row r="558" spans="3:17">
      <c r="C558" s="508">
        <f>IF(D526="","-",+C557+1)</f>
        <v>2042</v>
      </c>
      <c r="D558" s="471">
        <f t="shared" si="54"/>
        <v>1381274.8495250009</v>
      </c>
      <c r="E558" s="515">
        <f t="shared" si="55"/>
        <v>81651.715242857143</v>
      </c>
      <c r="F558" s="515">
        <f t="shared" si="48"/>
        <v>1299623.1342821438</v>
      </c>
      <c r="G558" s="471">
        <f t="shared" si="49"/>
        <v>1340448.9919035723</v>
      </c>
      <c r="H558" s="509">
        <f>+J527*G558+E558</f>
        <v>229341.74605054202</v>
      </c>
      <c r="I558" s="516">
        <f>+J528*G558+E558</f>
        <v>229341.74605054202</v>
      </c>
      <c r="J558" s="512">
        <f t="shared" si="50"/>
        <v>0</v>
      </c>
      <c r="K558" s="512"/>
      <c r="L558" s="517"/>
      <c r="M558" s="512">
        <f t="shared" si="51"/>
        <v>0</v>
      </c>
      <c r="N558" s="517"/>
      <c r="O558" s="512">
        <f t="shared" si="52"/>
        <v>0</v>
      </c>
      <c r="P558" s="512">
        <f t="shared" si="53"/>
        <v>0</v>
      </c>
      <c r="Q558" s="473"/>
    </row>
    <row r="559" spans="3:17">
      <c r="C559" s="508">
        <f>IF(D526="","-",+C558+1)</f>
        <v>2043</v>
      </c>
      <c r="D559" s="471">
        <f t="shared" si="54"/>
        <v>1299623.1342821438</v>
      </c>
      <c r="E559" s="515">
        <f t="shared" si="55"/>
        <v>81651.715242857143</v>
      </c>
      <c r="F559" s="515">
        <f t="shared" si="48"/>
        <v>1217971.4190392867</v>
      </c>
      <c r="G559" s="471">
        <f t="shared" si="49"/>
        <v>1258797.2766607152</v>
      </c>
      <c r="H559" s="509">
        <f>+J527*G559+E559</f>
        <v>220345.3989962668</v>
      </c>
      <c r="I559" s="516">
        <f>+J528*G559+E559</f>
        <v>220345.3989962668</v>
      </c>
      <c r="J559" s="512">
        <f t="shared" si="50"/>
        <v>0</v>
      </c>
      <c r="K559" s="512"/>
      <c r="L559" s="517"/>
      <c r="M559" s="512">
        <f t="shared" si="51"/>
        <v>0</v>
      </c>
      <c r="N559" s="517"/>
      <c r="O559" s="512">
        <f t="shared" si="52"/>
        <v>0</v>
      </c>
      <c r="P559" s="512">
        <f t="shared" si="53"/>
        <v>0</v>
      </c>
      <c r="Q559" s="473"/>
    </row>
    <row r="560" spans="3:17">
      <c r="C560" s="508">
        <f>IF(D526="","-",+C559+1)</f>
        <v>2044</v>
      </c>
      <c r="D560" s="471">
        <f t="shared" si="54"/>
        <v>1217971.4190392867</v>
      </c>
      <c r="E560" s="515">
        <f t="shared" si="55"/>
        <v>81651.715242857143</v>
      </c>
      <c r="F560" s="515">
        <f t="shared" si="48"/>
        <v>1136319.7037964296</v>
      </c>
      <c r="G560" s="471">
        <f t="shared" si="49"/>
        <v>1177145.5614178581</v>
      </c>
      <c r="H560" s="509">
        <f>+J527*G560+E560</f>
        <v>211349.05194199158</v>
      </c>
      <c r="I560" s="516">
        <f>+J528*G560+E560</f>
        <v>211349.05194199158</v>
      </c>
      <c r="J560" s="512">
        <f t="shared" si="50"/>
        <v>0</v>
      </c>
      <c r="K560" s="512"/>
      <c r="L560" s="517"/>
      <c r="M560" s="512">
        <f t="shared" si="51"/>
        <v>0</v>
      </c>
      <c r="N560" s="517"/>
      <c r="O560" s="512">
        <f t="shared" si="52"/>
        <v>0</v>
      </c>
      <c r="P560" s="512">
        <f t="shared" si="53"/>
        <v>0</v>
      </c>
      <c r="Q560" s="473"/>
    </row>
    <row r="561" spans="3:17">
      <c r="C561" s="508">
        <f>IF(D526="","-",+C560+1)</f>
        <v>2045</v>
      </c>
      <c r="D561" s="471">
        <f t="shared" si="54"/>
        <v>1136319.7037964296</v>
      </c>
      <c r="E561" s="515">
        <f t="shared" si="55"/>
        <v>81651.715242857143</v>
      </c>
      <c r="F561" s="515">
        <f t="shared" si="48"/>
        <v>1054667.9885535724</v>
      </c>
      <c r="G561" s="471">
        <f t="shared" si="49"/>
        <v>1095493.846175001</v>
      </c>
      <c r="H561" s="509">
        <f>+J527*G561+E561</f>
        <v>202352.70488771639</v>
      </c>
      <c r="I561" s="516">
        <f>+J528*G561+E561</f>
        <v>202352.70488771639</v>
      </c>
      <c r="J561" s="512">
        <f t="shared" si="50"/>
        <v>0</v>
      </c>
      <c r="K561" s="512"/>
      <c r="L561" s="517"/>
      <c r="M561" s="512">
        <f t="shared" si="51"/>
        <v>0</v>
      </c>
      <c r="N561" s="517"/>
      <c r="O561" s="512">
        <f t="shared" si="52"/>
        <v>0</v>
      </c>
      <c r="P561" s="512">
        <f t="shared" si="53"/>
        <v>0</v>
      </c>
      <c r="Q561" s="473"/>
    </row>
    <row r="562" spans="3:17">
      <c r="C562" s="508">
        <f>IF(D526="","-",+C561+1)</f>
        <v>2046</v>
      </c>
      <c r="D562" s="471">
        <f t="shared" si="54"/>
        <v>1054667.9885535724</v>
      </c>
      <c r="E562" s="515">
        <f t="shared" si="55"/>
        <v>81651.715242857143</v>
      </c>
      <c r="F562" s="515">
        <f t="shared" si="48"/>
        <v>973016.27331071533</v>
      </c>
      <c r="G562" s="471">
        <f t="shared" si="49"/>
        <v>1013842.1309321439</v>
      </c>
      <c r="H562" s="509">
        <f>+J527*G562+E562</f>
        <v>193356.35783344117</v>
      </c>
      <c r="I562" s="516">
        <f>+J528*G562+E562</f>
        <v>193356.35783344117</v>
      </c>
      <c r="J562" s="512">
        <f t="shared" si="50"/>
        <v>0</v>
      </c>
      <c r="K562" s="512"/>
      <c r="L562" s="517"/>
      <c r="M562" s="512">
        <f t="shared" si="51"/>
        <v>0</v>
      </c>
      <c r="N562" s="517"/>
      <c r="O562" s="512">
        <f t="shared" si="52"/>
        <v>0</v>
      </c>
      <c r="P562" s="512">
        <f t="shared" si="53"/>
        <v>0</v>
      </c>
      <c r="Q562" s="473"/>
    </row>
    <row r="563" spans="3:17">
      <c r="C563" s="508">
        <f>IF(D526="","-",+C562+1)</f>
        <v>2047</v>
      </c>
      <c r="D563" s="471">
        <f t="shared" si="54"/>
        <v>973016.27331071533</v>
      </c>
      <c r="E563" s="515">
        <f t="shared" si="55"/>
        <v>81651.715242857143</v>
      </c>
      <c r="F563" s="515">
        <f t="shared" si="48"/>
        <v>891364.55806785822</v>
      </c>
      <c r="G563" s="471">
        <f t="shared" si="49"/>
        <v>932190.41568928678</v>
      </c>
      <c r="H563" s="509">
        <f>+J527*G563+E563</f>
        <v>184360.01077916595</v>
      </c>
      <c r="I563" s="516">
        <f>+J528*G563+E563</f>
        <v>184360.01077916595</v>
      </c>
      <c r="J563" s="512">
        <f t="shared" si="50"/>
        <v>0</v>
      </c>
      <c r="K563" s="512"/>
      <c r="L563" s="517"/>
      <c r="M563" s="512">
        <f t="shared" si="51"/>
        <v>0</v>
      </c>
      <c r="N563" s="517"/>
      <c r="O563" s="512">
        <f t="shared" si="52"/>
        <v>0</v>
      </c>
      <c r="P563" s="512">
        <f t="shared" si="53"/>
        <v>0</v>
      </c>
      <c r="Q563" s="473"/>
    </row>
    <row r="564" spans="3:17">
      <c r="C564" s="508">
        <f>IF(D526="","-",+C563+1)</f>
        <v>2048</v>
      </c>
      <c r="D564" s="471">
        <f t="shared" si="54"/>
        <v>891364.55806785822</v>
      </c>
      <c r="E564" s="515">
        <f t="shared" si="55"/>
        <v>81651.715242857143</v>
      </c>
      <c r="F564" s="515">
        <f t="shared" si="48"/>
        <v>809712.84282500111</v>
      </c>
      <c r="G564" s="471">
        <f t="shared" si="49"/>
        <v>850538.70044642966</v>
      </c>
      <c r="H564" s="509">
        <f>+J527*G564+E564</f>
        <v>175363.66372489074</v>
      </c>
      <c r="I564" s="516">
        <f>+J528*G564+E564</f>
        <v>175363.66372489074</v>
      </c>
      <c r="J564" s="512">
        <f t="shared" si="50"/>
        <v>0</v>
      </c>
      <c r="K564" s="512"/>
      <c r="L564" s="517"/>
      <c r="M564" s="512">
        <f t="shared" si="51"/>
        <v>0</v>
      </c>
      <c r="N564" s="517"/>
      <c r="O564" s="512">
        <f t="shared" si="52"/>
        <v>0</v>
      </c>
      <c r="P564" s="512">
        <f t="shared" si="53"/>
        <v>0</v>
      </c>
      <c r="Q564" s="473"/>
    </row>
    <row r="565" spans="3:17">
      <c r="C565" s="508">
        <f>IF(D526="","-",+C564+1)</f>
        <v>2049</v>
      </c>
      <c r="D565" s="471">
        <f t="shared" si="54"/>
        <v>809712.84282500111</v>
      </c>
      <c r="E565" s="515">
        <f t="shared" si="55"/>
        <v>81651.715242857143</v>
      </c>
      <c r="F565" s="515">
        <f t="shared" si="48"/>
        <v>728061.12758214399</v>
      </c>
      <c r="G565" s="471">
        <f t="shared" si="49"/>
        <v>768886.98520357255</v>
      </c>
      <c r="H565" s="509">
        <f>+J527*G565+E565</f>
        <v>166367.31667061552</v>
      </c>
      <c r="I565" s="516">
        <f>+J528*G565+E565</f>
        <v>166367.31667061552</v>
      </c>
      <c r="J565" s="512">
        <f t="shared" si="50"/>
        <v>0</v>
      </c>
      <c r="K565" s="512"/>
      <c r="L565" s="517"/>
      <c r="M565" s="512">
        <f t="shared" si="51"/>
        <v>0</v>
      </c>
      <c r="N565" s="517"/>
      <c r="O565" s="512">
        <f t="shared" si="52"/>
        <v>0</v>
      </c>
      <c r="P565" s="512">
        <f t="shared" si="53"/>
        <v>0</v>
      </c>
      <c r="Q565" s="473"/>
    </row>
    <row r="566" spans="3:17">
      <c r="C566" s="508">
        <f>IF(D526="","-",+C565+1)</f>
        <v>2050</v>
      </c>
      <c r="D566" s="471">
        <f t="shared" si="54"/>
        <v>728061.12758214399</v>
      </c>
      <c r="E566" s="515">
        <f t="shared" si="55"/>
        <v>81651.715242857143</v>
      </c>
      <c r="F566" s="515">
        <f t="shared" si="48"/>
        <v>646409.41233928688</v>
      </c>
      <c r="G566" s="471">
        <f t="shared" si="49"/>
        <v>687235.26996071544</v>
      </c>
      <c r="H566" s="509">
        <f>+J527*G566+E566</f>
        <v>157370.96961634033</v>
      </c>
      <c r="I566" s="516">
        <f>+J528*G566+E566</f>
        <v>157370.96961634033</v>
      </c>
      <c r="J566" s="512">
        <f t="shared" si="50"/>
        <v>0</v>
      </c>
      <c r="K566" s="512"/>
      <c r="L566" s="517"/>
      <c r="M566" s="512">
        <f t="shared" si="51"/>
        <v>0</v>
      </c>
      <c r="N566" s="517"/>
      <c r="O566" s="512">
        <f t="shared" si="52"/>
        <v>0</v>
      </c>
      <c r="P566" s="512">
        <f t="shared" si="53"/>
        <v>0</v>
      </c>
      <c r="Q566" s="473"/>
    </row>
    <row r="567" spans="3:17">
      <c r="C567" s="508">
        <f>IF(D526="","-",+C566+1)</f>
        <v>2051</v>
      </c>
      <c r="D567" s="471">
        <f t="shared" si="54"/>
        <v>646409.41233928688</v>
      </c>
      <c r="E567" s="515">
        <f t="shared" si="55"/>
        <v>81651.715242857143</v>
      </c>
      <c r="F567" s="515">
        <f t="shared" si="48"/>
        <v>564757.69709642977</v>
      </c>
      <c r="G567" s="471">
        <f t="shared" si="49"/>
        <v>605583.55471785832</v>
      </c>
      <c r="H567" s="509">
        <f>+J527*G567+E567</f>
        <v>148374.62256206511</v>
      </c>
      <c r="I567" s="516">
        <f>+J528*G567+E567</f>
        <v>148374.62256206511</v>
      </c>
      <c r="J567" s="512">
        <f t="shared" si="50"/>
        <v>0</v>
      </c>
      <c r="K567" s="512"/>
      <c r="L567" s="517"/>
      <c r="M567" s="512">
        <f t="shared" si="51"/>
        <v>0</v>
      </c>
      <c r="N567" s="517"/>
      <c r="O567" s="512">
        <f t="shared" si="52"/>
        <v>0</v>
      </c>
      <c r="P567" s="512">
        <f t="shared" si="53"/>
        <v>0</v>
      </c>
      <c r="Q567" s="473"/>
    </row>
    <row r="568" spans="3:17">
      <c r="C568" s="508">
        <f>IF(D526="","-",+C567+1)</f>
        <v>2052</v>
      </c>
      <c r="D568" s="471">
        <f t="shared" si="54"/>
        <v>564757.69709642977</v>
      </c>
      <c r="E568" s="515">
        <f t="shared" si="55"/>
        <v>81651.715242857143</v>
      </c>
      <c r="F568" s="515">
        <f t="shared" si="48"/>
        <v>483105.98185357265</v>
      </c>
      <c r="G568" s="471">
        <f t="shared" si="49"/>
        <v>523931.83947500121</v>
      </c>
      <c r="H568" s="509">
        <f>+J527*G568+E568</f>
        <v>139378.27550778989</v>
      </c>
      <c r="I568" s="516">
        <f>+J528*G568+E568</f>
        <v>139378.27550778989</v>
      </c>
      <c r="J568" s="512">
        <f t="shared" si="50"/>
        <v>0</v>
      </c>
      <c r="K568" s="512"/>
      <c r="L568" s="517"/>
      <c r="M568" s="512">
        <f t="shared" si="51"/>
        <v>0</v>
      </c>
      <c r="N568" s="517"/>
      <c r="O568" s="512">
        <f t="shared" si="52"/>
        <v>0</v>
      </c>
      <c r="P568" s="512">
        <f t="shared" si="53"/>
        <v>0</v>
      </c>
      <c r="Q568" s="473"/>
    </row>
    <row r="569" spans="3:17">
      <c r="C569" s="508">
        <f>IF(D526="","-",+C568+1)</f>
        <v>2053</v>
      </c>
      <c r="D569" s="471">
        <f t="shared" si="54"/>
        <v>483105.98185357265</v>
      </c>
      <c r="E569" s="515">
        <f t="shared" si="55"/>
        <v>81651.715242857143</v>
      </c>
      <c r="F569" s="515">
        <f t="shared" si="48"/>
        <v>401454.26661071554</v>
      </c>
      <c r="G569" s="471">
        <f t="shared" si="49"/>
        <v>442280.1242321441</v>
      </c>
      <c r="H569" s="509">
        <f>+J527*G569+E569</f>
        <v>130381.92845351469</v>
      </c>
      <c r="I569" s="516">
        <f>+J528*G569+E569</f>
        <v>130381.92845351469</v>
      </c>
      <c r="J569" s="512">
        <f t="shared" si="50"/>
        <v>0</v>
      </c>
      <c r="K569" s="512"/>
      <c r="L569" s="517"/>
      <c r="M569" s="512">
        <f t="shared" si="51"/>
        <v>0</v>
      </c>
      <c r="N569" s="517"/>
      <c r="O569" s="512">
        <f t="shared" si="52"/>
        <v>0</v>
      </c>
      <c r="P569" s="512">
        <f t="shared" si="53"/>
        <v>0</v>
      </c>
      <c r="Q569" s="473"/>
    </row>
    <row r="570" spans="3:17">
      <c r="C570" s="508">
        <f>IF(D526="","-",+C569+1)</f>
        <v>2054</v>
      </c>
      <c r="D570" s="471">
        <f t="shared" si="54"/>
        <v>401454.26661071554</v>
      </c>
      <c r="E570" s="515">
        <f t="shared" si="55"/>
        <v>81651.715242857143</v>
      </c>
      <c r="F570" s="515">
        <f t="shared" si="48"/>
        <v>319802.55136785842</v>
      </c>
      <c r="G570" s="471">
        <f t="shared" si="49"/>
        <v>360628.40898928698</v>
      </c>
      <c r="H570" s="509">
        <f>+J527*G570+E570</f>
        <v>121385.58139923948</v>
      </c>
      <c r="I570" s="516">
        <f>+J528*G570+E570</f>
        <v>121385.58139923948</v>
      </c>
      <c r="J570" s="512">
        <f t="shared" si="50"/>
        <v>0</v>
      </c>
      <c r="K570" s="512"/>
      <c r="L570" s="517"/>
      <c r="M570" s="512">
        <f t="shared" si="51"/>
        <v>0</v>
      </c>
      <c r="N570" s="517"/>
      <c r="O570" s="512">
        <f t="shared" si="52"/>
        <v>0</v>
      </c>
      <c r="P570" s="512">
        <f t="shared" si="53"/>
        <v>0</v>
      </c>
      <c r="Q570" s="473"/>
    </row>
    <row r="571" spans="3:17">
      <c r="C571" s="508">
        <f>IF(D526="","-",+C570+1)</f>
        <v>2055</v>
      </c>
      <c r="D571" s="471">
        <f t="shared" si="54"/>
        <v>319802.55136785842</v>
      </c>
      <c r="E571" s="515">
        <f t="shared" si="55"/>
        <v>81651.715242857143</v>
      </c>
      <c r="F571" s="515">
        <f t="shared" si="48"/>
        <v>238150.83612500128</v>
      </c>
      <c r="G571" s="471">
        <f t="shared" si="49"/>
        <v>278976.69374642987</v>
      </c>
      <c r="H571" s="509">
        <f>+J527*G571+E571</f>
        <v>112389.23434496426</v>
      </c>
      <c r="I571" s="516">
        <f>+J528*G571+E571</f>
        <v>112389.23434496426</v>
      </c>
      <c r="J571" s="512">
        <f t="shared" si="50"/>
        <v>0</v>
      </c>
      <c r="K571" s="512"/>
      <c r="L571" s="517"/>
      <c r="M571" s="512">
        <f t="shared" si="51"/>
        <v>0</v>
      </c>
      <c r="N571" s="517"/>
      <c r="O571" s="512">
        <f t="shared" si="52"/>
        <v>0</v>
      </c>
      <c r="P571" s="512">
        <f t="shared" si="53"/>
        <v>0</v>
      </c>
      <c r="Q571" s="473"/>
    </row>
    <row r="572" spans="3:17">
      <c r="C572" s="508">
        <f>IF(D526="","-",+C571+1)</f>
        <v>2056</v>
      </c>
      <c r="D572" s="471">
        <f t="shared" si="54"/>
        <v>238150.83612500128</v>
      </c>
      <c r="E572" s="515">
        <f t="shared" si="55"/>
        <v>81651.715242857143</v>
      </c>
      <c r="F572" s="515">
        <f t="shared" si="48"/>
        <v>156499.12088214414</v>
      </c>
      <c r="G572" s="471">
        <f t="shared" si="49"/>
        <v>197324.9785035727</v>
      </c>
      <c r="H572" s="509">
        <f>+J527*G572+E572</f>
        <v>103392.88729068905</v>
      </c>
      <c r="I572" s="516">
        <f>+J528*G572+E572</f>
        <v>103392.88729068905</v>
      </c>
      <c r="J572" s="512">
        <f t="shared" si="50"/>
        <v>0</v>
      </c>
      <c r="K572" s="512"/>
      <c r="L572" s="517"/>
      <c r="M572" s="512">
        <f t="shared" si="51"/>
        <v>0</v>
      </c>
      <c r="N572" s="517"/>
      <c r="O572" s="512">
        <f t="shared" si="52"/>
        <v>0</v>
      </c>
      <c r="P572" s="512">
        <f t="shared" si="53"/>
        <v>0</v>
      </c>
      <c r="Q572" s="473"/>
    </row>
    <row r="573" spans="3:17">
      <c r="C573" s="508">
        <f>IF(D526="","-",+C572+1)</f>
        <v>2057</v>
      </c>
      <c r="D573" s="471">
        <f t="shared" si="54"/>
        <v>156499.12088214414</v>
      </c>
      <c r="E573" s="515">
        <f t="shared" si="55"/>
        <v>81651.715242857143</v>
      </c>
      <c r="F573" s="515">
        <f t="shared" si="48"/>
        <v>74847.405639286997</v>
      </c>
      <c r="G573" s="471">
        <f t="shared" si="49"/>
        <v>115673.26326071557</v>
      </c>
      <c r="H573" s="509">
        <f>+J527*G573+E573</f>
        <v>94396.540236413843</v>
      </c>
      <c r="I573" s="516">
        <f>+J528*G573+E573</f>
        <v>94396.540236413843</v>
      </c>
      <c r="J573" s="512">
        <f t="shared" si="50"/>
        <v>0</v>
      </c>
      <c r="K573" s="512"/>
      <c r="L573" s="517"/>
      <c r="M573" s="512">
        <f t="shared" si="51"/>
        <v>0</v>
      </c>
      <c r="N573" s="517"/>
      <c r="O573" s="512">
        <f t="shared" si="52"/>
        <v>0</v>
      </c>
      <c r="P573" s="512">
        <f t="shared" si="53"/>
        <v>0</v>
      </c>
      <c r="Q573" s="473"/>
    </row>
    <row r="574" spans="3:17">
      <c r="C574" s="508">
        <f>IF(D526="","-",+C573+1)</f>
        <v>2058</v>
      </c>
      <c r="D574" s="471">
        <f t="shared" si="54"/>
        <v>74847.405639286997</v>
      </c>
      <c r="E574" s="515">
        <f t="shared" si="55"/>
        <v>74847.405639286997</v>
      </c>
      <c r="F574" s="515">
        <f t="shared" si="48"/>
        <v>0</v>
      </c>
      <c r="G574" s="471">
        <f t="shared" si="49"/>
        <v>37423.702819643499</v>
      </c>
      <c r="H574" s="509">
        <f>+J527*G574+E574</f>
        <v>78970.731372496535</v>
      </c>
      <c r="I574" s="516">
        <f>+J528*G574+E574</f>
        <v>78970.731372496535</v>
      </c>
      <c r="J574" s="512">
        <f t="shared" si="50"/>
        <v>0</v>
      </c>
      <c r="K574" s="512"/>
      <c r="L574" s="517"/>
      <c r="M574" s="512">
        <f t="shared" si="51"/>
        <v>0</v>
      </c>
      <c r="N574" s="517"/>
      <c r="O574" s="512">
        <f t="shared" si="52"/>
        <v>0</v>
      </c>
      <c r="P574" s="512">
        <f t="shared" si="53"/>
        <v>0</v>
      </c>
      <c r="Q574" s="473"/>
    </row>
    <row r="575" spans="3:17">
      <c r="C575" s="508">
        <f>IF(D526="","-",+C574+1)</f>
        <v>2059</v>
      </c>
      <c r="D575" s="471">
        <f t="shared" si="54"/>
        <v>0</v>
      </c>
      <c r="E575" s="515">
        <f t="shared" si="55"/>
        <v>0</v>
      </c>
      <c r="F575" s="515">
        <f t="shared" si="48"/>
        <v>0</v>
      </c>
      <c r="G575" s="471">
        <f t="shared" si="49"/>
        <v>0</v>
      </c>
      <c r="H575" s="509">
        <f>+J527*G575+E575</f>
        <v>0</v>
      </c>
      <c r="I575" s="516">
        <f>+J528*G575+E575</f>
        <v>0</v>
      </c>
      <c r="J575" s="512">
        <f t="shared" si="50"/>
        <v>0</v>
      </c>
      <c r="K575" s="512"/>
      <c r="L575" s="517"/>
      <c r="M575" s="512">
        <f t="shared" si="51"/>
        <v>0</v>
      </c>
      <c r="N575" s="517"/>
      <c r="O575" s="512">
        <f t="shared" si="52"/>
        <v>0</v>
      </c>
      <c r="P575" s="512">
        <f t="shared" si="53"/>
        <v>0</v>
      </c>
      <c r="Q575" s="473"/>
    </row>
    <row r="576" spans="3:17">
      <c r="C576" s="508">
        <f>IF(D526="","-",+C575+1)</f>
        <v>2060</v>
      </c>
      <c r="D576" s="471">
        <f t="shared" si="54"/>
        <v>0</v>
      </c>
      <c r="E576" s="515">
        <f t="shared" si="55"/>
        <v>0</v>
      </c>
      <c r="F576" s="515">
        <f t="shared" si="48"/>
        <v>0</v>
      </c>
      <c r="G576" s="471">
        <f t="shared" si="49"/>
        <v>0</v>
      </c>
      <c r="H576" s="509">
        <f>+J527*G576+E576</f>
        <v>0</v>
      </c>
      <c r="I576" s="516">
        <f>+J528*G576+E576</f>
        <v>0</v>
      </c>
      <c r="J576" s="512">
        <f t="shared" si="50"/>
        <v>0</v>
      </c>
      <c r="K576" s="512"/>
      <c r="L576" s="517"/>
      <c r="M576" s="512">
        <f t="shared" si="51"/>
        <v>0</v>
      </c>
      <c r="N576" s="517"/>
      <c r="O576" s="512">
        <f t="shared" si="52"/>
        <v>0</v>
      </c>
      <c r="P576" s="512">
        <f t="shared" si="53"/>
        <v>0</v>
      </c>
      <c r="Q576" s="473"/>
    </row>
    <row r="577" spans="3:17">
      <c r="C577" s="508">
        <f>IF(D526="","-",+C576+1)</f>
        <v>2061</v>
      </c>
      <c r="D577" s="471">
        <f t="shared" si="54"/>
        <v>0</v>
      </c>
      <c r="E577" s="515">
        <f t="shared" si="55"/>
        <v>0</v>
      </c>
      <c r="F577" s="515">
        <f t="shared" si="48"/>
        <v>0</v>
      </c>
      <c r="G577" s="471">
        <f t="shared" si="49"/>
        <v>0</v>
      </c>
      <c r="H577" s="509">
        <f>+J527*G577+E577</f>
        <v>0</v>
      </c>
      <c r="I577" s="516">
        <f>+J528*G577+E577</f>
        <v>0</v>
      </c>
      <c r="J577" s="512">
        <f t="shared" si="50"/>
        <v>0</v>
      </c>
      <c r="K577" s="512"/>
      <c r="L577" s="517"/>
      <c r="M577" s="512">
        <f t="shared" si="51"/>
        <v>0</v>
      </c>
      <c r="N577" s="517"/>
      <c r="O577" s="512">
        <f t="shared" si="52"/>
        <v>0</v>
      </c>
      <c r="P577" s="512">
        <f t="shared" si="53"/>
        <v>0</v>
      </c>
      <c r="Q577" s="473"/>
    </row>
    <row r="578" spans="3:17">
      <c r="C578" s="508">
        <f>IF(D526="","-",+C577+1)</f>
        <v>2062</v>
      </c>
      <c r="D578" s="471">
        <f t="shared" si="54"/>
        <v>0</v>
      </c>
      <c r="E578" s="515">
        <f t="shared" si="55"/>
        <v>0</v>
      </c>
      <c r="F578" s="515">
        <f t="shared" si="48"/>
        <v>0</v>
      </c>
      <c r="G578" s="471">
        <f t="shared" si="49"/>
        <v>0</v>
      </c>
      <c r="H578" s="509">
        <f>+J527*G578+E578</f>
        <v>0</v>
      </c>
      <c r="I578" s="516">
        <f>+J528*G578+E578</f>
        <v>0</v>
      </c>
      <c r="J578" s="512">
        <f t="shared" si="50"/>
        <v>0</v>
      </c>
      <c r="K578" s="512"/>
      <c r="L578" s="517"/>
      <c r="M578" s="512">
        <f t="shared" si="51"/>
        <v>0</v>
      </c>
      <c r="N578" s="517"/>
      <c r="O578" s="512">
        <f t="shared" si="52"/>
        <v>0</v>
      </c>
      <c r="P578" s="512">
        <f t="shared" si="53"/>
        <v>0</v>
      </c>
      <c r="Q578" s="473"/>
    </row>
    <row r="579" spans="3:17">
      <c r="C579" s="508">
        <f>IF(D526="","-",+C578+1)</f>
        <v>2063</v>
      </c>
      <c r="D579" s="471">
        <f t="shared" si="54"/>
        <v>0</v>
      </c>
      <c r="E579" s="515">
        <f t="shared" si="55"/>
        <v>0</v>
      </c>
      <c r="F579" s="515">
        <f t="shared" si="48"/>
        <v>0</v>
      </c>
      <c r="G579" s="471">
        <f t="shared" si="49"/>
        <v>0</v>
      </c>
      <c r="H579" s="509">
        <f>+J527*G579+E579</f>
        <v>0</v>
      </c>
      <c r="I579" s="516">
        <f>+J528*G579+E579</f>
        <v>0</v>
      </c>
      <c r="J579" s="512">
        <f t="shared" si="50"/>
        <v>0</v>
      </c>
      <c r="K579" s="512"/>
      <c r="L579" s="517"/>
      <c r="M579" s="512">
        <f t="shared" si="51"/>
        <v>0</v>
      </c>
      <c r="N579" s="517"/>
      <c r="O579" s="512">
        <f t="shared" si="52"/>
        <v>0</v>
      </c>
      <c r="P579" s="512">
        <f t="shared" si="53"/>
        <v>0</v>
      </c>
      <c r="Q579" s="473"/>
    </row>
    <row r="580" spans="3:17">
      <c r="C580" s="508">
        <f>IF(D526="","-",+C579+1)</f>
        <v>2064</v>
      </c>
      <c r="D580" s="471">
        <f t="shared" si="54"/>
        <v>0</v>
      </c>
      <c r="E580" s="515">
        <f t="shared" si="55"/>
        <v>0</v>
      </c>
      <c r="F580" s="515">
        <f t="shared" si="48"/>
        <v>0</v>
      </c>
      <c r="G580" s="471">
        <f t="shared" si="49"/>
        <v>0</v>
      </c>
      <c r="H580" s="509">
        <f>+J527*G580+E580</f>
        <v>0</v>
      </c>
      <c r="I580" s="516">
        <f>+J528*G580+E580</f>
        <v>0</v>
      </c>
      <c r="J580" s="512">
        <f t="shared" si="50"/>
        <v>0</v>
      </c>
      <c r="K580" s="512"/>
      <c r="L580" s="517"/>
      <c r="M580" s="512">
        <f t="shared" si="51"/>
        <v>0</v>
      </c>
      <c r="N580" s="517"/>
      <c r="O580" s="512">
        <f t="shared" si="52"/>
        <v>0</v>
      </c>
      <c r="P580" s="512">
        <f t="shared" si="53"/>
        <v>0</v>
      </c>
      <c r="Q580" s="473"/>
    </row>
    <row r="581" spans="3:17">
      <c r="C581" s="508">
        <f>IF(D526="","-",+C580+1)</f>
        <v>2065</v>
      </c>
      <c r="D581" s="471">
        <f t="shared" si="54"/>
        <v>0</v>
      </c>
      <c r="E581" s="515">
        <f t="shared" si="55"/>
        <v>0</v>
      </c>
      <c r="F581" s="515">
        <f t="shared" si="48"/>
        <v>0</v>
      </c>
      <c r="G581" s="471">
        <f t="shared" si="49"/>
        <v>0</v>
      </c>
      <c r="H581" s="509">
        <f>+J527*G581+E581</f>
        <v>0</v>
      </c>
      <c r="I581" s="516">
        <f>+J528*G581+E581</f>
        <v>0</v>
      </c>
      <c r="J581" s="512">
        <f t="shared" si="50"/>
        <v>0</v>
      </c>
      <c r="K581" s="512"/>
      <c r="L581" s="517"/>
      <c r="M581" s="512">
        <f t="shared" si="51"/>
        <v>0</v>
      </c>
      <c r="N581" s="517"/>
      <c r="O581" s="512">
        <f t="shared" si="52"/>
        <v>0</v>
      </c>
      <c r="P581" s="512">
        <f t="shared" si="53"/>
        <v>0</v>
      </c>
      <c r="Q581" s="473"/>
    </row>
    <row r="582" spans="3:17">
      <c r="C582" s="508">
        <f>IF(D526="","-",+C581+1)</f>
        <v>2066</v>
      </c>
      <c r="D582" s="471">
        <f t="shared" si="54"/>
        <v>0</v>
      </c>
      <c r="E582" s="515">
        <f t="shared" si="55"/>
        <v>0</v>
      </c>
      <c r="F582" s="515">
        <f t="shared" si="48"/>
        <v>0</v>
      </c>
      <c r="G582" s="471">
        <f t="shared" si="49"/>
        <v>0</v>
      </c>
      <c r="H582" s="509">
        <f>+J527*G582+E582</f>
        <v>0</v>
      </c>
      <c r="I582" s="516">
        <f>+J528*G582+E582</f>
        <v>0</v>
      </c>
      <c r="J582" s="512">
        <f t="shared" si="50"/>
        <v>0</v>
      </c>
      <c r="K582" s="512"/>
      <c r="L582" s="517"/>
      <c r="M582" s="512">
        <f t="shared" si="51"/>
        <v>0</v>
      </c>
      <c r="N582" s="517"/>
      <c r="O582" s="512">
        <f t="shared" si="52"/>
        <v>0</v>
      </c>
      <c r="P582" s="512">
        <f t="shared" si="53"/>
        <v>0</v>
      </c>
      <c r="Q582" s="473"/>
    </row>
    <row r="583" spans="3:17">
      <c r="C583" s="508">
        <f>IF(D526="","-",+C582+1)</f>
        <v>2067</v>
      </c>
      <c r="D583" s="471">
        <f t="shared" si="54"/>
        <v>0</v>
      </c>
      <c r="E583" s="515">
        <f t="shared" si="55"/>
        <v>0</v>
      </c>
      <c r="F583" s="515">
        <f t="shared" si="48"/>
        <v>0</v>
      </c>
      <c r="G583" s="471">
        <f t="shared" si="49"/>
        <v>0</v>
      </c>
      <c r="H583" s="509">
        <f>+J527*G583+E583</f>
        <v>0</v>
      </c>
      <c r="I583" s="516">
        <f>+J528*G583+E583</f>
        <v>0</v>
      </c>
      <c r="J583" s="512">
        <f t="shared" si="50"/>
        <v>0</v>
      </c>
      <c r="K583" s="512"/>
      <c r="L583" s="517"/>
      <c r="M583" s="512">
        <f t="shared" si="51"/>
        <v>0</v>
      </c>
      <c r="N583" s="517"/>
      <c r="O583" s="512">
        <f t="shared" si="52"/>
        <v>0</v>
      </c>
      <c r="P583" s="512">
        <f t="shared" si="53"/>
        <v>0</v>
      </c>
      <c r="Q583" s="473"/>
    </row>
    <row r="584" spans="3:17">
      <c r="C584" s="508">
        <f>IF(D526="","-",+C583+1)</f>
        <v>2068</v>
      </c>
      <c r="D584" s="471">
        <f t="shared" si="54"/>
        <v>0</v>
      </c>
      <c r="E584" s="515">
        <f t="shared" si="55"/>
        <v>0</v>
      </c>
      <c r="F584" s="515">
        <f t="shared" si="48"/>
        <v>0</v>
      </c>
      <c r="G584" s="471">
        <f t="shared" si="49"/>
        <v>0</v>
      </c>
      <c r="H584" s="509">
        <f>+J527*G584+E584</f>
        <v>0</v>
      </c>
      <c r="I584" s="516">
        <f>+J528*G584+E584</f>
        <v>0</v>
      </c>
      <c r="J584" s="512">
        <f t="shared" si="50"/>
        <v>0</v>
      </c>
      <c r="K584" s="512"/>
      <c r="L584" s="517"/>
      <c r="M584" s="512">
        <f t="shared" si="51"/>
        <v>0</v>
      </c>
      <c r="N584" s="517"/>
      <c r="O584" s="512">
        <f t="shared" si="52"/>
        <v>0</v>
      </c>
      <c r="P584" s="512">
        <f t="shared" si="53"/>
        <v>0</v>
      </c>
      <c r="Q584" s="473"/>
    </row>
    <row r="585" spans="3:17">
      <c r="C585" s="508">
        <f>IF(D526="","-",+C584+1)</f>
        <v>2069</v>
      </c>
      <c r="D585" s="471">
        <f t="shared" si="54"/>
        <v>0</v>
      </c>
      <c r="E585" s="515">
        <f t="shared" si="55"/>
        <v>0</v>
      </c>
      <c r="F585" s="515">
        <f t="shared" si="48"/>
        <v>0</v>
      </c>
      <c r="G585" s="471">
        <f t="shared" si="49"/>
        <v>0</v>
      </c>
      <c r="H585" s="509">
        <f>+J527*G585+E585</f>
        <v>0</v>
      </c>
      <c r="I585" s="516">
        <f>+J528*G585+E585</f>
        <v>0</v>
      </c>
      <c r="J585" s="512">
        <f t="shared" si="50"/>
        <v>0</v>
      </c>
      <c r="K585" s="512"/>
      <c r="L585" s="517"/>
      <c r="M585" s="512">
        <f t="shared" si="51"/>
        <v>0</v>
      </c>
      <c r="N585" s="517"/>
      <c r="O585" s="512">
        <f t="shared" si="52"/>
        <v>0</v>
      </c>
      <c r="P585" s="512">
        <f t="shared" si="53"/>
        <v>0</v>
      </c>
      <c r="Q585" s="473"/>
    </row>
    <row r="586" spans="3:17">
      <c r="C586" s="508">
        <f>IF(D526="","-",+C585+1)</f>
        <v>2070</v>
      </c>
      <c r="D586" s="471">
        <f t="shared" si="54"/>
        <v>0</v>
      </c>
      <c r="E586" s="515">
        <f t="shared" si="55"/>
        <v>0</v>
      </c>
      <c r="F586" s="515">
        <f t="shared" si="48"/>
        <v>0</v>
      </c>
      <c r="G586" s="471">
        <f t="shared" si="49"/>
        <v>0</v>
      </c>
      <c r="H586" s="509">
        <f>+J527*G586+E586</f>
        <v>0</v>
      </c>
      <c r="I586" s="516">
        <f>+J528*G586+E586</f>
        <v>0</v>
      </c>
      <c r="J586" s="512">
        <f t="shared" si="50"/>
        <v>0</v>
      </c>
      <c r="K586" s="512"/>
      <c r="L586" s="517"/>
      <c r="M586" s="512">
        <f t="shared" si="51"/>
        <v>0</v>
      </c>
      <c r="N586" s="517"/>
      <c r="O586" s="512">
        <f t="shared" si="52"/>
        <v>0</v>
      </c>
      <c r="P586" s="512">
        <f t="shared" si="53"/>
        <v>0</v>
      </c>
      <c r="Q586" s="473"/>
    </row>
    <row r="587" spans="3:17">
      <c r="C587" s="508">
        <f>IF(D526="","-",+C586+1)</f>
        <v>2071</v>
      </c>
      <c r="D587" s="471">
        <f t="shared" si="54"/>
        <v>0</v>
      </c>
      <c r="E587" s="515">
        <f t="shared" si="55"/>
        <v>0</v>
      </c>
      <c r="F587" s="515">
        <f t="shared" si="48"/>
        <v>0</v>
      </c>
      <c r="G587" s="471">
        <f t="shared" si="49"/>
        <v>0</v>
      </c>
      <c r="H587" s="509">
        <f>+J527*G587+E587</f>
        <v>0</v>
      </c>
      <c r="I587" s="516">
        <f>+J528*G587+E587</f>
        <v>0</v>
      </c>
      <c r="J587" s="512">
        <f t="shared" si="50"/>
        <v>0</v>
      </c>
      <c r="K587" s="512"/>
      <c r="L587" s="517"/>
      <c r="M587" s="512">
        <f t="shared" si="51"/>
        <v>0</v>
      </c>
      <c r="N587" s="517"/>
      <c r="O587" s="512">
        <f t="shared" si="52"/>
        <v>0</v>
      </c>
      <c r="P587" s="512">
        <f t="shared" si="53"/>
        <v>0</v>
      </c>
      <c r="Q587" s="473"/>
    </row>
    <row r="588" spans="3:17">
      <c r="C588" s="508">
        <f>IF(D526="","-",+C587+1)</f>
        <v>2072</v>
      </c>
      <c r="D588" s="471">
        <f t="shared" si="54"/>
        <v>0</v>
      </c>
      <c r="E588" s="515">
        <f t="shared" si="55"/>
        <v>0</v>
      </c>
      <c r="F588" s="515">
        <f t="shared" si="48"/>
        <v>0</v>
      </c>
      <c r="G588" s="471">
        <f t="shared" si="49"/>
        <v>0</v>
      </c>
      <c r="H588" s="509">
        <f>+J527*G588+E588</f>
        <v>0</v>
      </c>
      <c r="I588" s="516">
        <f>+J528*G588+E588</f>
        <v>0</v>
      </c>
      <c r="J588" s="512">
        <f t="shared" si="50"/>
        <v>0</v>
      </c>
      <c r="K588" s="512"/>
      <c r="L588" s="517"/>
      <c r="M588" s="512">
        <f t="shared" si="51"/>
        <v>0</v>
      </c>
      <c r="N588" s="517"/>
      <c r="O588" s="512">
        <f t="shared" si="52"/>
        <v>0</v>
      </c>
      <c r="P588" s="512">
        <f t="shared" si="53"/>
        <v>0</v>
      </c>
      <c r="Q588" s="473"/>
    </row>
    <row r="589" spans="3:17">
      <c r="C589" s="508">
        <f>IF(D526="","-",+C588+1)</f>
        <v>2073</v>
      </c>
      <c r="D589" s="471">
        <f t="shared" si="54"/>
        <v>0</v>
      </c>
      <c r="E589" s="515">
        <f t="shared" si="55"/>
        <v>0</v>
      </c>
      <c r="F589" s="515">
        <f t="shared" si="48"/>
        <v>0</v>
      </c>
      <c r="G589" s="471">
        <f t="shared" si="49"/>
        <v>0</v>
      </c>
      <c r="H589" s="509">
        <f>+J527*G589+E589</f>
        <v>0</v>
      </c>
      <c r="I589" s="516">
        <f>+J528*G589+E589</f>
        <v>0</v>
      </c>
      <c r="J589" s="512">
        <f t="shared" si="50"/>
        <v>0</v>
      </c>
      <c r="K589" s="512"/>
      <c r="L589" s="517"/>
      <c r="M589" s="512">
        <f t="shared" si="51"/>
        <v>0</v>
      </c>
      <c r="N589" s="517"/>
      <c r="O589" s="512">
        <f t="shared" si="52"/>
        <v>0</v>
      </c>
      <c r="P589" s="512">
        <f t="shared" si="53"/>
        <v>0</v>
      </c>
      <c r="Q589" s="473"/>
    </row>
    <row r="590" spans="3:17">
      <c r="C590" s="508">
        <f>IF(D526="","-",+C589+1)</f>
        <v>2074</v>
      </c>
      <c r="D590" s="471">
        <f t="shared" si="54"/>
        <v>0</v>
      </c>
      <c r="E590" s="515">
        <f t="shared" si="55"/>
        <v>0</v>
      </c>
      <c r="F590" s="515">
        <f t="shared" si="48"/>
        <v>0</v>
      </c>
      <c r="G590" s="471">
        <f t="shared" si="49"/>
        <v>0</v>
      </c>
      <c r="H590" s="509">
        <f>+J527*G590+E590</f>
        <v>0</v>
      </c>
      <c r="I590" s="516">
        <f>+J528*G590+E590</f>
        <v>0</v>
      </c>
      <c r="J590" s="512">
        <f t="shared" si="50"/>
        <v>0</v>
      </c>
      <c r="K590" s="512"/>
      <c r="L590" s="517"/>
      <c r="M590" s="512">
        <f t="shared" si="51"/>
        <v>0</v>
      </c>
      <c r="N590" s="517"/>
      <c r="O590" s="512">
        <f t="shared" si="52"/>
        <v>0</v>
      </c>
      <c r="P590" s="512">
        <f t="shared" si="53"/>
        <v>0</v>
      </c>
      <c r="Q590" s="473"/>
    </row>
    <row r="591" spans="3:17" ht="13.5" thickBot="1">
      <c r="C591" s="520">
        <f>IF(D526="","-",+C590+1)</f>
        <v>2075</v>
      </c>
      <c r="D591" s="521">
        <f t="shared" si="54"/>
        <v>0</v>
      </c>
      <c r="E591" s="522">
        <f t="shared" si="55"/>
        <v>0</v>
      </c>
      <c r="F591" s="522">
        <f t="shared" si="48"/>
        <v>0</v>
      </c>
      <c r="G591" s="521">
        <f t="shared" si="49"/>
        <v>0</v>
      </c>
      <c r="H591" s="523">
        <f>+J527*G591+E591</f>
        <v>0</v>
      </c>
      <c r="I591" s="523">
        <f>+J528*G591+E591</f>
        <v>0</v>
      </c>
      <c r="J591" s="524">
        <f t="shared" si="50"/>
        <v>0</v>
      </c>
      <c r="K591" s="512"/>
      <c r="L591" s="525"/>
      <c r="M591" s="524">
        <f t="shared" si="51"/>
        <v>0</v>
      </c>
      <c r="N591" s="525"/>
      <c r="O591" s="524">
        <f t="shared" si="52"/>
        <v>0</v>
      </c>
      <c r="P591" s="524">
        <f t="shared" si="53"/>
        <v>0</v>
      </c>
      <c r="Q591" s="473"/>
    </row>
    <row r="592" spans="3:17">
      <c r="C592" s="471" t="s">
        <v>288</v>
      </c>
      <c r="D592" s="469"/>
      <c r="E592" s="469">
        <f>SUM(E532:E591)</f>
        <v>3429372.0402000006</v>
      </c>
      <c r="F592" s="469"/>
      <c r="G592" s="469"/>
      <c r="H592" s="469">
        <f>SUM(H532:H591)</f>
        <v>11710509.503660338</v>
      </c>
      <c r="I592" s="469">
        <f>SUM(I532:I591)</f>
        <v>11710509.503660338</v>
      </c>
      <c r="J592" s="469">
        <f>SUM(J532:J591)</f>
        <v>0</v>
      </c>
      <c r="K592" s="469"/>
      <c r="L592" s="469"/>
      <c r="M592" s="469"/>
      <c r="N592" s="469"/>
      <c r="O592" s="469"/>
      <c r="Q592" s="469"/>
    </row>
    <row r="593" spans="1:17">
      <c r="D593" s="78"/>
      <c r="E593" s="4"/>
      <c r="F593" s="4"/>
      <c r="G593" s="4"/>
      <c r="H593" s="4"/>
      <c r="I593" s="454"/>
      <c r="J593" s="454"/>
      <c r="K593" s="469"/>
      <c r="L593" s="454"/>
      <c r="M593" s="454"/>
      <c r="N593" s="454"/>
      <c r="O593" s="454"/>
      <c r="Q593" s="469"/>
    </row>
    <row r="594" spans="1:17">
      <c r="C594" s="4" t="s">
        <v>600</v>
      </c>
      <c r="D594" s="78"/>
      <c r="E594" s="4"/>
      <c r="F594" s="4"/>
      <c r="G594" s="4"/>
      <c r="H594" s="4"/>
      <c r="I594" s="454"/>
      <c r="J594" s="454"/>
      <c r="K594" s="469"/>
      <c r="L594" s="454"/>
      <c r="M594" s="454"/>
      <c r="N594" s="454"/>
      <c r="O594" s="454"/>
      <c r="Q594" s="469"/>
    </row>
    <row r="595" spans="1:17">
      <c r="D595" s="78"/>
      <c r="E595" s="4"/>
      <c r="F595" s="4"/>
      <c r="G595" s="4"/>
      <c r="H595" s="4"/>
      <c r="I595" s="454"/>
      <c r="J595" s="454"/>
      <c r="K595" s="469"/>
      <c r="L595" s="454"/>
      <c r="M595" s="454"/>
      <c r="N595" s="454"/>
      <c r="O595" s="454"/>
      <c r="Q595" s="469"/>
    </row>
    <row r="596" spans="1:17">
      <c r="C596" s="4" t="s">
        <v>601</v>
      </c>
      <c r="D596" s="471"/>
      <c r="E596" s="471"/>
      <c r="F596" s="471"/>
      <c r="G596" s="471"/>
      <c r="H596" s="469"/>
      <c r="I596" s="469"/>
      <c r="J596" s="473"/>
      <c r="K596" s="473"/>
      <c r="L596" s="473"/>
      <c r="M596" s="473"/>
      <c r="N596" s="473"/>
      <c r="O596" s="473"/>
      <c r="Q596" s="473"/>
    </row>
    <row r="597" spans="1:17">
      <c r="C597" s="4" t="s">
        <v>476</v>
      </c>
      <c r="D597" s="471"/>
      <c r="E597" s="471"/>
      <c r="F597" s="471"/>
      <c r="G597" s="471"/>
      <c r="H597" s="469"/>
      <c r="I597" s="469"/>
      <c r="J597" s="473"/>
      <c r="K597" s="473"/>
      <c r="L597" s="473"/>
      <c r="M597" s="473"/>
      <c r="N597" s="473"/>
      <c r="O597" s="473"/>
      <c r="Q597" s="473"/>
    </row>
    <row r="598" spans="1:17">
      <c r="C598" s="4" t="s">
        <v>289</v>
      </c>
      <c r="D598" s="471"/>
      <c r="E598" s="471"/>
      <c r="F598" s="471"/>
      <c r="G598" s="471"/>
      <c r="H598" s="469"/>
      <c r="I598" s="469"/>
      <c r="J598" s="473"/>
      <c r="K598" s="473"/>
      <c r="L598" s="473"/>
      <c r="M598" s="473"/>
      <c r="N598" s="473"/>
      <c r="O598" s="473"/>
      <c r="Q598" s="473"/>
    </row>
    <row r="599" spans="1:17" ht="20.25">
      <c r="A599" s="413" t="s">
        <v>767</v>
      </c>
      <c r="B599" s="4"/>
      <c r="C599" s="4"/>
      <c r="D599" s="78"/>
      <c r="E599" s="4"/>
      <c r="F599" s="80"/>
      <c r="G599" s="80"/>
      <c r="H599" s="4"/>
      <c r="I599" s="454"/>
      <c r="L599" s="11"/>
      <c r="M599" s="11"/>
      <c r="N599" s="11"/>
      <c r="O599" s="11" t="str">
        <f>"Page "&amp;SUM(Q$3:Q599)&amp;" of "</f>
        <v xml:space="preserve">Page 8 of </v>
      </c>
      <c r="P599" s="414">
        <f>COUNT(Q$8:Q$58123)</f>
        <v>16</v>
      </c>
      <c r="Q599" s="544">
        <v>1</v>
      </c>
    </row>
    <row r="600" spans="1:17">
      <c r="B600" s="4"/>
      <c r="C600" s="4"/>
      <c r="D600" s="78"/>
      <c r="E600" s="4"/>
      <c r="F600" s="4"/>
      <c r="G600" s="4"/>
      <c r="H600" s="4"/>
      <c r="I600" s="454"/>
      <c r="J600" s="4"/>
      <c r="K600" s="4"/>
    </row>
    <row r="601" spans="1:17" ht="18">
      <c r="B601" s="415" t="s">
        <v>174</v>
      </c>
      <c r="C601" s="474" t="s">
        <v>290</v>
      </c>
      <c r="D601" s="78"/>
      <c r="E601" s="4"/>
      <c r="F601" s="4"/>
      <c r="G601" s="4"/>
      <c r="H601" s="4"/>
      <c r="I601" s="454"/>
      <c r="J601" s="454"/>
      <c r="K601" s="469"/>
      <c r="L601" s="454"/>
      <c r="M601" s="454"/>
      <c r="N601" s="454"/>
      <c r="O601" s="454"/>
      <c r="Q601" s="469"/>
    </row>
    <row r="602" spans="1:17" ht="18.75">
      <c r="B602" s="415"/>
      <c r="C602" s="13"/>
      <c r="D602" s="78"/>
      <c r="E602" s="4"/>
      <c r="F602" s="4"/>
      <c r="G602" s="4"/>
      <c r="H602" s="4"/>
      <c r="I602" s="454"/>
      <c r="J602" s="454"/>
      <c r="K602" s="469"/>
      <c r="L602" s="454"/>
      <c r="M602" s="454"/>
      <c r="N602" s="454"/>
      <c r="O602" s="454"/>
      <c r="Q602" s="469"/>
    </row>
    <row r="603" spans="1:17" ht="18.75">
      <c r="B603" s="415"/>
      <c r="C603" s="13" t="s">
        <v>291</v>
      </c>
      <c r="D603" s="78"/>
      <c r="E603" s="4"/>
      <c r="F603" s="4"/>
      <c r="G603" s="4"/>
      <c r="H603" s="4"/>
      <c r="I603" s="454"/>
      <c r="J603" s="454"/>
      <c r="K603" s="469"/>
      <c r="L603" s="454"/>
      <c r="M603" s="454"/>
      <c r="N603" s="454"/>
      <c r="O603" s="454"/>
      <c r="Q603" s="469"/>
    </row>
    <row r="604" spans="1:17" ht="15.75" thickBot="1">
      <c r="C604" s="250"/>
      <c r="D604" s="78"/>
      <c r="E604" s="4"/>
      <c r="F604" s="4"/>
      <c r="G604" s="4"/>
      <c r="H604" s="4"/>
      <c r="I604" s="454"/>
      <c r="J604" s="454"/>
      <c r="K604" s="469"/>
      <c r="L604" s="454"/>
      <c r="M604" s="454"/>
      <c r="N604" s="454"/>
      <c r="O604" s="454"/>
      <c r="Q604" s="469"/>
    </row>
    <row r="605" spans="1:17" ht="15.75">
      <c r="C605" s="416" t="s">
        <v>292</v>
      </c>
      <c r="D605" s="78"/>
      <c r="E605" s="4"/>
      <c r="F605" s="4"/>
      <c r="G605" s="4"/>
      <c r="H605" s="642"/>
      <c r="I605" s="4" t="s">
        <v>271</v>
      </c>
      <c r="J605" s="4"/>
      <c r="K605" s="4"/>
      <c r="L605" s="545">
        <f>+J611</f>
        <v>2025</v>
      </c>
      <c r="M605" s="529" t="s">
        <v>254</v>
      </c>
      <c r="N605" s="529" t="s">
        <v>255</v>
      </c>
      <c r="O605" s="530" t="s">
        <v>256</v>
      </c>
    </row>
    <row r="606" spans="1:17" ht="15.75">
      <c r="C606" s="416"/>
      <c r="D606" s="78"/>
      <c r="E606" s="4"/>
      <c r="F606" s="4"/>
      <c r="H606" s="4"/>
      <c r="I606" s="478"/>
      <c r="J606" s="478"/>
      <c r="K606" s="479"/>
      <c r="L606" s="546" t="s">
        <v>455</v>
      </c>
      <c r="M606" s="547">
        <f>VLOOKUP(J611,C618:P677,10)</f>
        <v>3349767.5278923027</v>
      </c>
      <c r="N606" s="547">
        <f>VLOOKUP(J611,C618:P677,12)</f>
        <v>3349767.5278923027</v>
      </c>
      <c r="O606" s="548">
        <f>+N606-M606</f>
        <v>0</v>
      </c>
      <c r="Q606" s="479"/>
    </row>
    <row r="607" spans="1:17">
      <c r="C607" s="481" t="s">
        <v>293</v>
      </c>
      <c r="D607" s="1304" t="s">
        <v>935</v>
      </c>
      <c r="E607" s="1304"/>
      <c r="F607" s="1304"/>
      <c r="G607" s="1304"/>
      <c r="H607" s="1304"/>
      <c r="I607" s="454"/>
      <c r="J607" s="454"/>
      <c r="K607" s="469"/>
      <c r="L607" s="546" t="s">
        <v>456</v>
      </c>
      <c r="M607" s="549">
        <f>VLOOKUP(J611,C618:P677,6)</f>
        <v>3352388.4200351117</v>
      </c>
      <c r="N607" s="549">
        <f>VLOOKUP(J611,C618:P677,7)</f>
        <v>3352388.4200351117</v>
      </c>
      <c r="O607" s="550">
        <f>+N607-M607</f>
        <v>0</v>
      </c>
      <c r="Q607" s="469"/>
    </row>
    <row r="608" spans="1:17" ht="13.5" thickBot="1">
      <c r="C608" s="483"/>
      <c r="D608" s="484"/>
      <c r="E608" s="471"/>
      <c r="F608" s="471"/>
      <c r="G608" s="471"/>
      <c r="H608" s="485"/>
      <c r="I608" s="454"/>
      <c r="J608" s="454"/>
      <c r="K608" s="469"/>
      <c r="L608" s="495" t="s">
        <v>457</v>
      </c>
      <c r="M608" s="551">
        <f>+M607-M606</f>
        <v>2620.8921428089961</v>
      </c>
      <c r="N608" s="551">
        <f>+N607-N606</f>
        <v>2620.8921428089961</v>
      </c>
      <c r="O608" s="552">
        <f>+O607-O606</f>
        <v>0</v>
      </c>
      <c r="Q608" s="469"/>
    </row>
    <row r="609" spans="1:17" ht="13.5" thickBot="1">
      <c r="C609" s="483"/>
      <c r="D609" s="4"/>
      <c r="E609" s="485"/>
      <c r="F609" s="485"/>
      <c r="G609" s="485"/>
      <c r="H609" s="485"/>
      <c r="I609" s="485"/>
      <c r="J609" s="485"/>
      <c r="K609" s="485"/>
      <c r="L609" s="485"/>
      <c r="M609" s="485"/>
      <c r="N609" s="485"/>
      <c r="O609" s="485"/>
      <c r="Q609" s="485"/>
    </row>
    <row r="610" spans="1:17" ht="13.5" thickBot="1">
      <c r="C610" s="487" t="s">
        <v>294</v>
      </c>
      <c r="D610" s="488"/>
      <c r="E610" s="488"/>
      <c r="F610" s="488"/>
      <c r="G610" s="488"/>
      <c r="H610" s="488"/>
      <c r="I610" s="488"/>
      <c r="J610" s="488"/>
      <c r="Q610"/>
    </row>
    <row r="611" spans="1:17" ht="15">
      <c r="A611" s="486"/>
      <c r="C611" s="490" t="s">
        <v>272</v>
      </c>
      <c r="D611" s="941">
        <v>30073762.065699998</v>
      </c>
      <c r="E611" s="4" t="s">
        <v>273</v>
      </c>
      <c r="H611" s="78"/>
      <c r="I611" s="78"/>
      <c r="J611" s="491">
        <f>$J$95</f>
        <v>2025</v>
      </c>
      <c r="K611" s="134"/>
      <c r="L611" s="1305" t="s">
        <v>274</v>
      </c>
      <c r="M611" s="1305"/>
      <c r="N611" s="1305"/>
      <c r="O611" s="1305"/>
      <c r="Q611" s="134"/>
    </row>
    <row r="612" spans="1:17">
      <c r="A612" s="486"/>
      <c r="C612" s="490" t="s">
        <v>275</v>
      </c>
      <c r="D612" s="644">
        <v>2016</v>
      </c>
      <c r="E612" s="490" t="s">
        <v>276</v>
      </c>
      <c r="F612" s="78"/>
      <c r="G612" s="78"/>
      <c r="I612"/>
      <c r="J612" s="647">
        <v>0</v>
      </c>
      <c r="K612" s="492"/>
      <c r="L612" s="469" t="s">
        <v>475</v>
      </c>
      <c r="Q612" s="492"/>
    </row>
    <row r="613" spans="1:17">
      <c r="A613" s="486"/>
      <c r="C613" s="490" t="s">
        <v>277</v>
      </c>
      <c r="D613" s="942">
        <v>11</v>
      </c>
      <c r="E613" s="490" t="s">
        <v>278</v>
      </c>
      <c r="F613" s="78"/>
      <c r="G613" s="78"/>
      <c r="I613"/>
      <c r="J613" s="493">
        <f>$F$70</f>
        <v>0.11017952320434825</v>
      </c>
      <c r="K613" s="80"/>
      <c r="L613" s="4" t="str">
        <f>"          INPUT TRUE-UP ARR (WITH &amp; WITHOUT INCENTIVES) FROM EACH PRIOR YEAR"</f>
        <v xml:space="preserve">          INPUT TRUE-UP ARR (WITH &amp; WITHOUT INCENTIVES) FROM EACH PRIOR YEAR</v>
      </c>
      <c r="Q613" s="80"/>
    </row>
    <row r="614" spans="1:17">
      <c r="A614" s="486"/>
      <c r="C614" s="490" t="s">
        <v>279</v>
      </c>
      <c r="D614" s="494">
        <f>H79</f>
        <v>42</v>
      </c>
      <c r="E614" s="490" t="s">
        <v>280</v>
      </c>
      <c r="F614" s="78"/>
      <c r="G614" s="78"/>
      <c r="I614"/>
      <c r="J614" s="493">
        <f>IF(H605="",J613,$F$69)</f>
        <v>0.11017952320434825</v>
      </c>
      <c r="K614" s="80"/>
      <c r="L614" s="4" t="s">
        <v>362</v>
      </c>
      <c r="M614" s="80"/>
      <c r="N614" s="80"/>
      <c r="O614" s="80"/>
      <c r="Q614" s="80"/>
    </row>
    <row r="615" spans="1:17" ht="13.5" thickBot="1">
      <c r="A615" s="486"/>
      <c r="C615" s="490" t="s">
        <v>281</v>
      </c>
      <c r="D615" s="646" t="s">
        <v>929</v>
      </c>
      <c r="E615" s="495" t="s">
        <v>282</v>
      </c>
      <c r="F615" s="496"/>
      <c r="G615" s="496"/>
      <c r="H615" s="497"/>
      <c r="I615" s="497"/>
      <c r="J615" s="482">
        <f>IF(D611=0,0,D611/D614)</f>
        <v>716041.95394523803</v>
      </c>
      <c r="K615" s="469"/>
      <c r="L615" s="469" t="s">
        <v>363</v>
      </c>
      <c r="M615" s="469"/>
      <c r="N615" s="469"/>
      <c r="O615" s="469"/>
      <c r="Q615" s="469"/>
    </row>
    <row r="616" spans="1:17" ht="38.25">
      <c r="A616" s="12"/>
      <c r="B616" s="12"/>
      <c r="C616" s="498" t="s">
        <v>272</v>
      </c>
      <c r="D616" s="499" t="s">
        <v>283</v>
      </c>
      <c r="E616" s="500" t="s">
        <v>284</v>
      </c>
      <c r="F616" s="499" t="s">
        <v>285</v>
      </c>
      <c r="G616" s="499" t="s">
        <v>458</v>
      </c>
      <c r="H616" s="500" t="s">
        <v>356</v>
      </c>
      <c r="I616" s="501" t="s">
        <v>356</v>
      </c>
      <c r="J616" s="498" t="s">
        <v>295</v>
      </c>
      <c r="K616" s="502"/>
      <c r="L616" s="500" t="s">
        <v>358</v>
      </c>
      <c r="M616" s="500" t="s">
        <v>364</v>
      </c>
      <c r="N616" s="500" t="s">
        <v>358</v>
      </c>
      <c r="O616" s="500" t="s">
        <v>366</v>
      </c>
      <c r="P616" s="500" t="s">
        <v>286</v>
      </c>
      <c r="Q616" s="127"/>
    </row>
    <row r="617" spans="1:17" ht="13.5" thickBot="1">
      <c r="C617" s="503" t="s">
        <v>177</v>
      </c>
      <c r="D617" s="504" t="s">
        <v>178</v>
      </c>
      <c r="E617" s="503" t="s">
        <v>37</v>
      </c>
      <c r="F617" s="504" t="s">
        <v>178</v>
      </c>
      <c r="G617" s="504" t="s">
        <v>178</v>
      </c>
      <c r="H617" s="505" t="s">
        <v>298</v>
      </c>
      <c r="I617" s="506" t="s">
        <v>300</v>
      </c>
      <c r="J617" s="503" t="s">
        <v>389</v>
      </c>
      <c r="K617" s="507"/>
      <c r="L617" s="505" t="s">
        <v>287</v>
      </c>
      <c r="M617" s="505" t="s">
        <v>287</v>
      </c>
      <c r="N617" s="505" t="s">
        <v>467</v>
      </c>
      <c r="O617" s="505" t="s">
        <v>467</v>
      </c>
      <c r="P617" s="505" t="s">
        <v>467</v>
      </c>
      <c r="Q617" s="134"/>
    </row>
    <row r="618" spans="1:17">
      <c r="C618" s="508">
        <f>IF(D612= "","-",D612)</f>
        <v>2016</v>
      </c>
      <c r="D618" s="471">
        <f>+D611</f>
        <v>30073762.065699998</v>
      </c>
      <c r="E618" s="509">
        <f>+J615/12*(12-D613)</f>
        <v>59670.162828769833</v>
      </c>
      <c r="F618" s="553">
        <f t="shared" ref="F618:F677" si="56">+D618-E618</f>
        <v>30014091.902871229</v>
      </c>
      <c r="G618" s="471">
        <f t="shared" ref="G618:G677" si="57">+(D618+F618)/2</f>
        <v>30043926.984285615</v>
      </c>
      <c r="H618" s="510">
        <f>+J613*G618+E618</f>
        <v>3369895.7131436113</v>
      </c>
      <c r="I618" s="511">
        <f>+J614*G618+E618</f>
        <v>3369895.7131436113</v>
      </c>
      <c r="J618" s="512">
        <f t="shared" ref="J618:J677" si="58">+I618-H618</f>
        <v>0</v>
      </c>
      <c r="K618" s="512"/>
      <c r="L618" s="513">
        <v>13022465</v>
      </c>
      <c r="M618" s="554">
        <f t="shared" ref="M618:M677" si="59">IF(L618&lt;&gt;0,+H618-L618,0)</f>
        <v>-9652569.2868563887</v>
      </c>
      <c r="N618" s="513">
        <v>13022465</v>
      </c>
      <c r="O618" s="554">
        <f t="shared" ref="O618:O677" si="60">IF(N618&lt;&gt;0,+I618-N618,0)</f>
        <v>-9652569.2868563887</v>
      </c>
      <c r="P618" s="554">
        <f t="shared" ref="P618:P677" si="61">+O618-M618</f>
        <v>0</v>
      </c>
      <c r="Q618" s="473"/>
    </row>
    <row r="619" spans="1:17">
      <c r="C619" s="508">
        <f>IF(D612="","-",+C618+1)</f>
        <v>2017</v>
      </c>
      <c r="D619" s="471">
        <f t="shared" ref="D619:D677" si="62">F618</f>
        <v>30014091.902871229</v>
      </c>
      <c r="E619" s="515">
        <f>IF(D619&gt;$J$615,$J$615,D619)</f>
        <v>716041.95394523803</v>
      </c>
      <c r="F619" s="515">
        <f t="shared" si="56"/>
        <v>29298049.948925991</v>
      </c>
      <c r="G619" s="471">
        <f t="shared" si="57"/>
        <v>29656070.925898612</v>
      </c>
      <c r="H619" s="509">
        <f>+J613*G619+E619</f>
        <v>3983533.7086750818</v>
      </c>
      <c r="I619" s="516">
        <f>+J614*G619+E619</f>
        <v>3983533.7086750818</v>
      </c>
      <c r="J619" s="512">
        <f t="shared" si="58"/>
        <v>0</v>
      </c>
      <c r="K619" s="512"/>
      <c r="L619" s="517">
        <v>3514742</v>
      </c>
      <c r="M619" s="512">
        <f t="shared" si="59"/>
        <v>468791.70867508184</v>
      </c>
      <c r="N619" s="517">
        <v>3514742</v>
      </c>
      <c r="O619" s="512">
        <f t="shared" si="60"/>
        <v>468791.70867508184</v>
      </c>
      <c r="P619" s="512">
        <f t="shared" si="61"/>
        <v>0</v>
      </c>
      <c r="Q619" s="473"/>
    </row>
    <row r="620" spans="1:17">
      <c r="C620" s="508">
        <f>IF(D612="","-",+C619+1)</f>
        <v>2018</v>
      </c>
      <c r="D620" s="471">
        <f t="shared" si="62"/>
        <v>29298049.948925991</v>
      </c>
      <c r="E620" s="515">
        <f t="shared" ref="E620:E677" si="63">IF(D620&gt;$J$615,$J$615,D620)</f>
        <v>716041.95394523803</v>
      </c>
      <c r="F620" s="515">
        <f t="shared" si="56"/>
        <v>28582007.994980752</v>
      </c>
      <c r="G620" s="471">
        <f t="shared" si="57"/>
        <v>28940028.97195337</v>
      </c>
      <c r="H620" s="509">
        <f>+J613*G620+E620</f>
        <v>3904640.5475950851</v>
      </c>
      <c r="I620" s="516">
        <f>+J614*G620+E620</f>
        <v>3904640.5475950851</v>
      </c>
      <c r="J620" s="512">
        <f t="shared" si="58"/>
        <v>0</v>
      </c>
      <c r="K620" s="512"/>
      <c r="L620" s="517">
        <v>3974755</v>
      </c>
      <c r="M620" s="512">
        <f t="shared" si="59"/>
        <v>-70114.452404914889</v>
      </c>
      <c r="N620" s="517">
        <v>3974755</v>
      </c>
      <c r="O620" s="512">
        <f t="shared" si="60"/>
        <v>-70114.452404914889</v>
      </c>
      <c r="P620" s="512">
        <f t="shared" si="61"/>
        <v>0</v>
      </c>
      <c r="Q620" s="473"/>
    </row>
    <row r="621" spans="1:17">
      <c r="C621" s="508">
        <f>IF(D612="","-",+C620+1)</f>
        <v>2019</v>
      </c>
      <c r="D621" s="955">
        <f t="shared" si="62"/>
        <v>28582007.994980752</v>
      </c>
      <c r="E621" s="515">
        <f t="shared" si="63"/>
        <v>716041.95394523803</v>
      </c>
      <c r="F621" s="515">
        <f t="shared" si="56"/>
        <v>27865966.041035514</v>
      </c>
      <c r="G621" s="471">
        <f t="shared" si="57"/>
        <v>28223987.018008135</v>
      </c>
      <c r="H621" s="509">
        <f>+J613*G621+E621</f>
        <v>3825747.3865150893</v>
      </c>
      <c r="I621" s="516">
        <f>+J614*G621+E621</f>
        <v>3825747.3865150893</v>
      </c>
      <c r="J621" s="512">
        <f t="shared" si="58"/>
        <v>0</v>
      </c>
      <c r="K621" s="512"/>
      <c r="L621" s="517">
        <v>3572182</v>
      </c>
      <c r="M621" s="512">
        <f t="shared" si="59"/>
        <v>253565.38651508931</v>
      </c>
      <c r="N621" s="517">
        <v>3572182</v>
      </c>
      <c r="O621" s="512">
        <f t="shared" si="60"/>
        <v>253565.38651508931</v>
      </c>
      <c r="P621" s="512">
        <f t="shared" si="61"/>
        <v>0</v>
      </c>
      <c r="Q621" s="473"/>
    </row>
    <row r="622" spans="1:17">
      <c r="C622" s="508">
        <f>IF(D612="","-",+C621+1)</f>
        <v>2020</v>
      </c>
      <c r="D622" s="955">
        <f t="shared" si="62"/>
        <v>27865966.041035514</v>
      </c>
      <c r="E622" s="515">
        <f t="shared" si="63"/>
        <v>716041.95394523803</v>
      </c>
      <c r="F622" s="515">
        <f t="shared" si="56"/>
        <v>27149924.087090276</v>
      </c>
      <c r="G622" s="471">
        <f t="shared" si="57"/>
        <v>27507945.064062893</v>
      </c>
      <c r="H622" s="509">
        <f>+J613*G622+E622</f>
        <v>3746854.2254350926</v>
      </c>
      <c r="I622" s="516">
        <f>+J614*G622+E622</f>
        <v>3746854.2254350926</v>
      </c>
      <c r="J622" s="512">
        <f t="shared" si="58"/>
        <v>0</v>
      </c>
      <c r="K622" s="512"/>
      <c r="L622" s="517">
        <v>3435592.6853049258</v>
      </c>
      <c r="M622" s="512">
        <f t="shared" si="59"/>
        <v>311261.5401301668</v>
      </c>
      <c r="N622" s="517">
        <v>3435592.6853049258</v>
      </c>
      <c r="O622" s="512">
        <f t="shared" si="60"/>
        <v>311261.5401301668</v>
      </c>
      <c r="P622" s="512">
        <f t="shared" si="61"/>
        <v>0</v>
      </c>
      <c r="Q622" s="473"/>
    </row>
    <row r="623" spans="1:17">
      <c r="C623" s="508">
        <f>IF(D612="","-",+C622+1)</f>
        <v>2021</v>
      </c>
      <c r="D623" s="471">
        <f t="shared" si="62"/>
        <v>27149924.087090276</v>
      </c>
      <c r="E623" s="515">
        <f t="shared" si="63"/>
        <v>716041.95394523803</v>
      </c>
      <c r="F623" s="515">
        <f t="shared" si="56"/>
        <v>26433882.133145038</v>
      </c>
      <c r="G623" s="471">
        <f t="shared" si="57"/>
        <v>26791903.110117659</v>
      </c>
      <c r="H623" s="509">
        <f>+J613*G623+E623</f>
        <v>3667961.0643550968</v>
      </c>
      <c r="I623" s="516">
        <f>+J614*G623+E623</f>
        <v>3667961.0643550968</v>
      </c>
      <c r="J623" s="512">
        <f t="shared" si="58"/>
        <v>0</v>
      </c>
      <c r="K623" s="512"/>
      <c r="L623" s="517">
        <v>3452843.0341999652</v>
      </c>
      <c r="M623" s="512">
        <f t="shared" si="59"/>
        <v>215118.03015513159</v>
      </c>
      <c r="N623" s="517">
        <v>3452843.0341999652</v>
      </c>
      <c r="O623" s="512">
        <f t="shared" si="60"/>
        <v>215118.03015513159</v>
      </c>
      <c r="P623" s="512">
        <f t="shared" si="61"/>
        <v>0</v>
      </c>
      <c r="Q623" s="473"/>
    </row>
    <row r="624" spans="1:17">
      <c r="C624" s="508">
        <f>IF(D612="","-",+C623+1)</f>
        <v>2022</v>
      </c>
      <c r="D624" s="471">
        <f t="shared" si="62"/>
        <v>26433882.133145038</v>
      </c>
      <c r="E624" s="515">
        <f t="shared" si="63"/>
        <v>716041.95394523803</v>
      </c>
      <c r="F624" s="515">
        <f t="shared" si="56"/>
        <v>25717840.1791998</v>
      </c>
      <c r="G624" s="471">
        <f t="shared" si="57"/>
        <v>26075861.156172417</v>
      </c>
      <c r="H624" s="509">
        <f>+J613*G624+E624</f>
        <v>3589067.9032751</v>
      </c>
      <c r="I624" s="516">
        <f>+J614*G624+E624</f>
        <v>3589067.9032751</v>
      </c>
      <c r="J624" s="512">
        <f t="shared" si="58"/>
        <v>0</v>
      </c>
      <c r="K624" s="512"/>
      <c r="L624" s="517">
        <v>3413115.8005183781</v>
      </c>
      <c r="M624" s="512">
        <f t="shared" si="59"/>
        <v>175952.1027567219</v>
      </c>
      <c r="N624" s="517">
        <v>3413115.8005183781</v>
      </c>
      <c r="O624" s="512">
        <f t="shared" si="60"/>
        <v>175952.1027567219</v>
      </c>
      <c r="P624" s="512">
        <f t="shared" si="61"/>
        <v>0</v>
      </c>
      <c r="Q624" s="473"/>
    </row>
    <row r="625" spans="3:17">
      <c r="C625" s="508">
        <f>IF(D612="","-",+C624+1)</f>
        <v>2023</v>
      </c>
      <c r="D625" s="471">
        <f t="shared" si="62"/>
        <v>25717840.1791998</v>
      </c>
      <c r="E625" s="515">
        <f t="shared" si="63"/>
        <v>716041.95394523803</v>
      </c>
      <c r="F625" s="515">
        <f t="shared" si="56"/>
        <v>25001798.225254562</v>
      </c>
      <c r="G625" s="471">
        <f t="shared" si="57"/>
        <v>25359819.202227183</v>
      </c>
      <c r="H625" s="509">
        <f>+J613*G625+E625</f>
        <v>3510174.7421951042</v>
      </c>
      <c r="I625" s="516">
        <f>+J614*G625+E625</f>
        <v>3510174.7421951042</v>
      </c>
      <c r="J625" s="512">
        <f t="shared" si="58"/>
        <v>0</v>
      </c>
      <c r="K625" s="512"/>
      <c r="L625" s="517">
        <v>3532642.157875096</v>
      </c>
      <c r="M625" s="512">
        <f t="shared" si="59"/>
        <v>-22467.415679991711</v>
      </c>
      <c r="N625" s="517">
        <v>3532642.157875096</v>
      </c>
      <c r="O625" s="512">
        <f t="shared" si="60"/>
        <v>-22467.415679991711</v>
      </c>
      <c r="P625" s="512">
        <f t="shared" si="61"/>
        <v>0</v>
      </c>
      <c r="Q625" s="473"/>
    </row>
    <row r="626" spans="3:17">
      <c r="C626" s="508">
        <f>IF(D612="","-",+C625+1)</f>
        <v>2024</v>
      </c>
      <c r="D626" s="471">
        <f t="shared" si="62"/>
        <v>25001798.225254562</v>
      </c>
      <c r="E626" s="515">
        <f t="shared" si="63"/>
        <v>716041.95394523803</v>
      </c>
      <c r="F626" s="515">
        <f t="shared" si="56"/>
        <v>24285756.271309324</v>
      </c>
      <c r="G626" s="471">
        <f t="shared" si="57"/>
        <v>24643777.248281941</v>
      </c>
      <c r="H626" s="509">
        <f>+J613*G626+E626</f>
        <v>3431281.5811151075</v>
      </c>
      <c r="I626" s="516">
        <f>+J614*G626+E626</f>
        <v>3431281.5811151075</v>
      </c>
      <c r="J626" s="512">
        <f t="shared" si="58"/>
        <v>0</v>
      </c>
      <c r="K626" s="512"/>
      <c r="L626" s="517">
        <v>3415869.1657549888</v>
      </c>
      <c r="M626" s="512">
        <f t="shared" si="59"/>
        <v>15412.415360118728</v>
      </c>
      <c r="N626" s="517">
        <v>3415869.1657549888</v>
      </c>
      <c r="O626" s="512">
        <f t="shared" si="60"/>
        <v>15412.415360118728</v>
      </c>
      <c r="P626" s="512">
        <f t="shared" si="61"/>
        <v>0</v>
      </c>
      <c r="Q626" s="473"/>
    </row>
    <row r="627" spans="3:17">
      <c r="C627" s="508">
        <f>IF(D612="","-",+C626+1)</f>
        <v>2025</v>
      </c>
      <c r="D627" s="471">
        <f t="shared" si="62"/>
        <v>24285756.271309324</v>
      </c>
      <c r="E627" s="515">
        <f t="shared" si="63"/>
        <v>716041.95394523803</v>
      </c>
      <c r="F627" s="515">
        <f t="shared" si="56"/>
        <v>23569714.317364085</v>
      </c>
      <c r="G627" s="471">
        <f t="shared" si="57"/>
        <v>23927735.294336706</v>
      </c>
      <c r="H627" s="509">
        <f>+J613*G627+E627</f>
        <v>3352388.4200351117</v>
      </c>
      <c r="I627" s="516">
        <f>+J614*G627+E627</f>
        <v>3352388.4200351117</v>
      </c>
      <c r="J627" s="512">
        <f t="shared" si="58"/>
        <v>0</v>
      </c>
      <c r="K627" s="512"/>
      <c r="L627" s="517">
        <v>3349767.5278923027</v>
      </c>
      <c r="M627" s="512">
        <f t="shared" si="59"/>
        <v>2620.8921428089961</v>
      </c>
      <c r="N627" s="517">
        <v>3349767.5278923027</v>
      </c>
      <c r="O627" s="512">
        <f t="shared" si="60"/>
        <v>2620.8921428089961</v>
      </c>
      <c r="P627" s="512">
        <f t="shared" si="61"/>
        <v>0</v>
      </c>
      <c r="Q627" s="473"/>
    </row>
    <row r="628" spans="3:17">
      <c r="C628" s="508">
        <f>IF(D612="","-",+C627+1)</f>
        <v>2026</v>
      </c>
      <c r="D628" s="471">
        <f t="shared" si="62"/>
        <v>23569714.317364085</v>
      </c>
      <c r="E628" s="515">
        <f t="shared" si="63"/>
        <v>716041.95394523803</v>
      </c>
      <c r="F628" s="515">
        <f t="shared" si="56"/>
        <v>22853672.363418847</v>
      </c>
      <c r="G628" s="471">
        <f t="shared" si="57"/>
        <v>23211693.340391465</v>
      </c>
      <c r="H628" s="509">
        <f>+J613*G628+E628</f>
        <v>3273495.258955115</v>
      </c>
      <c r="I628" s="516">
        <f>+J614*G628+E628</f>
        <v>3273495.258955115</v>
      </c>
      <c r="J628" s="512">
        <f t="shared" si="58"/>
        <v>0</v>
      </c>
      <c r="K628" s="512"/>
      <c r="L628" s="517">
        <v>0</v>
      </c>
      <c r="M628" s="512">
        <f t="shared" si="59"/>
        <v>0</v>
      </c>
      <c r="N628" s="517">
        <v>0</v>
      </c>
      <c r="O628" s="512">
        <f t="shared" si="60"/>
        <v>0</v>
      </c>
      <c r="P628" s="512">
        <f t="shared" si="61"/>
        <v>0</v>
      </c>
      <c r="Q628" s="473"/>
    </row>
    <row r="629" spans="3:17">
      <c r="C629" s="508">
        <f>IF(D612="","-",+C628+1)</f>
        <v>2027</v>
      </c>
      <c r="D629" s="471">
        <f t="shared" si="62"/>
        <v>22853672.363418847</v>
      </c>
      <c r="E629" s="515">
        <f t="shared" si="63"/>
        <v>716041.95394523803</v>
      </c>
      <c r="F629" s="515">
        <f t="shared" si="56"/>
        <v>22137630.409473609</v>
      </c>
      <c r="G629" s="471">
        <f t="shared" si="57"/>
        <v>22495651.38644623</v>
      </c>
      <c r="H629" s="509">
        <f>+J613*G629+E629</f>
        <v>3194602.0978751192</v>
      </c>
      <c r="I629" s="516">
        <f>+J614*G629+E629</f>
        <v>3194602.0978751192</v>
      </c>
      <c r="J629" s="512">
        <f t="shared" si="58"/>
        <v>0</v>
      </c>
      <c r="K629" s="512"/>
      <c r="L629" s="517"/>
      <c r="M629" s="512">
        <f t="shared" si="59"/>
        <v>0</v>
      </c>
      <c r="N629" s="517"/>
      <c r="O629" s="512">
        <f t="shared" si="60"/>
        <v>0</v>
      </c>
      <c r="P629" s="512">
        <f t="shared" si="61"/>
        <v>0</v>
      </c>
      <c r="Q629" s="473"/>
    </row>
    <row r="630" spans="3:17">
      <c r="C630" s="508">
        <f>IF(D612="","-",+C629+1)</f>
        <v>2028</v>
      </c>
      <c r="D630" s="471">
        <f t="shared" si="62"/>
        <v>22137630.409473609</v>
      </c>
      <c r="E630" s="515">
        <f t="shared" si="63"/>
        <v>716041.95394523803</v>
      </c>
      <c r="F630" s="515">
        <f t="shared" si="56"/>
        <v>21421588.455528371</v>
      </c>
      <c r="G630" s="471">
        <f t="shared" si="57"/>
        <v>21779609.432500988</v>
      </c>
      <c r="H630" s="509">
        <f>+J613*G630+E630</f>
        <v>3115708.9367951229</v>
      </c>
      <c r="I630" s="516">
        <f>+J614*G630+E630</f>
        <v>3115708.9367951229</v>
      </c>
      <c r="J630" s="512">
        <f t="shared" si="58"/>
        <v>0</v>
      </c>
      <c r="K630" s="512"/>
      <c r="L630" s="517"/>
      <c r="M630" s="512">
        <f t="shared" si="59"/>
        <v>0</v>
      </c>
      <c r="N630" s="517"/>
      <c r="O630" s="512">
        <f t="shared" si="60"/>
        <v>0</v>
      </c>
      <c r="P630" s="512">
        <f t="shared" si="61"/>
        <v>0</v>
      </c>
      <c r="Q630" s="473"/>
    </row>
    <row r="631" spans="3:17">
      <c r="C631" s="508">
        <f>IF(D612="","-",+C630+1)</f>
        <v>2029</v>
      </c>
      <c r="D631" s="471">
        <f t="shared" si="62"/>
        <v>21421588.455528371</v>
      </c>
      <c r="E631" s="515">
        <f t="shared" si="63"/>
        <v>716041.95394523803</v>
      </c>
      <c r="F631" s="515">
        <f t="shared" si="56"/>
        <v>20705546.501583133</v>
      </c>
      <c r="G631" s="471">
        <f t="shared" si="57"/>
        <v>21063567.478555754</v>
      </c>
      <c r="H631" s="509">
        <f>+J613*G631+E631</f>
        <v>3036815.7757151271</v>
      </c>
      <c r="I631" s="516">
        <f>+J614*G631+E631</f>
        <v>3036815.7757151271</v>
      </c>
      <c r="J631" s="512">
        <f t="shared" si="58"/>
        <v>0</v>
      </c>
      <c r="K631" s="512"/>
      <c r="L631" s="517"/>
      <c r="M631" s="512">
        <f t="shared" si="59"/>
        <v>0</v>
      </c>
      <c r="N631" s="517"/>
      <c r="O631" s="512">
        <f t="shared" si="60"/>
        <v>0</v>
      </c>
      <c r="P631" s="512">
        <f t="shared" si="61"/>
        <v>0</v>
      </c>
      <c r="Q631" s="473"/>
    </row>
    <row r="632" spans="3:17">
      <c r="C632" s="508">
        <f>IF(D612="","-",+C631+1)</f>
        <v>2030</v>
      </c>
      <c r="D632" s="471">
        <f t="shared" si="62"/>
        <v>20705546.501583133</v>
      </c>
      <c r="E632" s="515">
        <f t="shared" si="63"/>
        <v>716041.95394523803</v>
      </c>
      <c r="F632" s="515">
        <f t="shared" si="56"/>
        <v>19989504.547637895</v>
      </c>
      <c r="G632" s="471">
        <f t="shared" si="57"/>
        <v>20347525.524610512</v>
      </c>
      <c r="H632" s="509">
        <f>+J613*G632+E632</f>
        <v>2957922.6146351304</v>
      </c>
      <c r="I632" s="516">
        <f>+J614*G632+E632</f>
        <v>2957922.6146351304</v>
      </c>
      <c r="J632" s="512">
        <f t="shared" si="58"/>
        <v>0</v>
      </c>
      <c r="K632" s="512"/>
      <c r="L632" s="517"/>
      <c r="M632" s="512">
        <f t="shared" si="59"/>
        <v>0</v>
      </c>
      <c r="N632" s="517"/>
      <c r="O632" s="512">
        <f t="shared" si="60"/>
        <v>0</v>
      </c>
      <c r="P632" s="512">
        <f t="shared" si="61"/>
        <v>0</v>
      </c>
      <c r="Q632" s="473"/>
    </row>
    <row r="633" spans="3:17">
      <c r="C633" s="508">
        <f>IF(D612="","-",+C632+1)</f>
        <v>2031</v>
      </c>
      <c r="D633" s="471">
        <f t="shared" si="62"/>
        <v>19989504.547637895</v>
      </c>
      <c r="E633" s="515">
        <f t="shared" si="63"/>
        <v>716041.95394523803</v>
      </c>
      <c r="F633" s="515">
        <f t="shared" si="56"/>
        <v>19273462.593692657</v>
      </c>
      <c r="G633" s="471">
        <f t="shared" si="57"/>
        <v>19631483.570665278</v>
      </c>
      <c r="H633" s="509">
        <f>+J613*G633+E633</f>
        <v>2879029.4535551346</v>
      </c>
      <c r="I633" s="516">
        <f>+J614*G633+E633</f>
        <v>2879029.4535551346</v>
      </c>
      <c r="J633" s="512">
        <f t="shared" si="58"/>
        <v>0</v>
      </c>
      <c r="K633" s="512"/>
      <c r="L633" s="517"/>
      <c r="M633" s="512">
        <f t="shared" si="59"/>
        <v>0</v>
      </c>
      <c r="N633" s="517"/>
      <c r="O633" s="512">
        <f t="shared" si="60"/>
        <v>0</v>
      </c>
      <c r="P633" s="512">
        <f t="shared" si="61"/>
        <v>0</v>
      </c>
      <c r="Q633" s="473"/>
    </row>
    <row r="634" spans="3:17">
      <c r="C634" s="508">
        <f>IF(D612="","-",+C633+1)</f>
        <v>2032</v>
      </c>
      <c r="D634" s="471">
        <f t="shared" si="62"/>
        <v>19273462.593692657</v>
      </c>
      <c r="E634" s="515">
        <f t="shared" si="63"/>
        <v>716041.95394523803</v>
      </c>
      <c r="F634" s="515">
        <f t="shared" si="56"/>
        <v>18557420.639747418</v>
      </c>
      <c r="G634" s="471">
        <f t="shared" si="57"/>
        <v>18915441.616720036</v>
      </c>
      <c r="H634" s="509">
        <f>+J613*G634+E634</f>
        <v>2800136.2924751379</v>
      </c>
      <c r="I634" s="516">
        <f>+J614*G634+E634</f>
        <v>2800136.2924751379</v>
      </c>
      <c r="J634" s="512">
        <f t="shared" si="58"/>
        <v>0</v>
      </c>
      <c r="K634" s="512"/>
      <c r="L634" s="517"/>
      <c r="M634" s="512">
        <f t="shared" si="59"/>
        <v>0</v>
      </c>
      <c r="N634" s="517"/>
      <c r="O634" s="512">
        <f t="shared" si="60"/>
        <v>0</v>
      </c>
      <c r="P634" s="512">
        <f t="shared" si="61"/>
        <v>0</v>
      </c>
      <c r="Q634" s="473"/>
    </row>
    <row r="635" spans="3:17">
      <c r="C635" s="508">
        <f>IF(D612="","-",+C634+1)</f>
        <v>2033</v>
      </c>
      <c r="D635" s="471">
        <f t="shared" si="62"/>
        <v>18557420.639747418</v>
      </c>
      <c r="E635" s="515">
        <f t="shared" si="63"/>
        <v>716041.95394523803</v>
      </c>
      <c r="F635" s="515">
        <f t="shared" si="56"/>
        <v>17841378.68580218</v>
      </c>
      <c r="G635" s="471">
        <f t="shared" si="57"/>
        <v>18199399.662774801</v>
      </c>
      <c r="H635" s="509">
        <f>+J613*G635+E635</f>
        <v>2721243.1313951421</v>
      </c>
      <c r="I635" s="516">
        <f>+J614*G635+E635</f>
        <v>2721243.1313951421</v>
      </c>
      <c r="J635" s="512">
        <f t="shared" si="58"/>
        <v>0</v>
      </c>
      <c r="K635" s="512"/>
      <c r="L635" s="517"/>
      <c r="M635" s="512">
        <f t="shared" si="59"/>
        <v>0</v>
      </c>
      <c r="N635" s="517"/>
      <c r="O635" s="512">
        <f t="shared" si="60"/>
        <v>0</v>
      </c>
      <c r="P635" s="512">
        <f t="shared" si="61"/>
        <v>0</v>
      </c>
      <c r="Q635" s="473"/>
    </row>
    <row r="636" spans="3:17">
      <c r="C636" s="508">
        <f>IF(D612="","-",+C635+1)</f>
        <v>2034</v>
      </c>
      <c r="D636" s="471">
        <f t="shared" si="62"/>
        <v>17841378.68580218</v>
      </c>
      <c r="E636" s="515">
        <f t="shared" si="63"/>
        <v>716041.95394523803</v>
      </c>
      <c r="F636" s="515">
        <f t="shared" si="56"/>
        <v>17125336.731856942</v>
      </c>
      <c r="G636" s="471">
        <f t="shared" si="57"/>
        <v>17483357.708829559</v>
      </c>
      <c r="H636" s="509">
        <f>+J613*G636+E636</f>
        <v>2642349.9703151453</v>
      </c>
      <c r="I636" s="516">
        <f>+J614*G636+E636</f>
        <v>2642349.9703151453</v>
      </c>
      <c r="J636" s="512">
        <f t="shared" si="58"/>
        <v>0</v>
      </c>
      <c r="K636" s="512"/>
      <c r="L636" s="517"/>
      <c r="M636" s="512">
        <f t="shared" si="59"/>
        <v>0</v>
      </c>
      <c r="N636" s="517"/>
      <c r="O636" s="512">
        <f t="shared" si="60"/>
        <v>0</v>
      </c>
      <c r="P636" s="512">
        <f t="shared" si="61"/>
        <v>0</v>
      </c>
      <c r="Q636" s="473"/>
    </row>
    <row r="637" spans="3:17">
      <c r="C637" s="508">
        <f>IF(D612="","-",+C636+1)</f>
        <v>2035</v>
      </c>
      <c r="D637" s="471">
        <f t="shared" si="62"/>
        <v>17125336.731856942</v>
      </c>
      <c r="E637" s="515">
        <f t="shared" si="63"/>
        <v>716041.95394523803</v>
      </c>
      <c r="F637" s="515">
        <f t="shared" si="56"/>
        <v>16409294.777911704</v>
      </c>
      <c r="G637" s="471">
        <f t="shared" si="57"/>
        <v>16767315.754884323</v>
      </c>
      <c r="H637" s="509">
        <f>+J613*G637+E637</f>
        <v>2563456.8092351491</v>
      </c>
      <c r="I637" s="516">
        <f>+J614*G637+E637</f>
        <v>2563456.8092351491</v>
      </c>
      <c r="J637" s="512">
        <f t="shared" si="58"/>
        <v>0</v>
      </c>
      <c r="K637" s="512"/>
      <c r="L637" s="517"/>
      <c r="M637" s="512">
        <f t="shared" si="59"/>
        <v>0</v>
      </c>
      <c r="N637" s="517"/>
      <c r="O637" s="512">
        <f t="shared" si="60"/>
        <v>0</v>
      </c>
      <c r="P637" s="512">
        <f t="shared" si="61"/>
        <v>0</v>
      </c>
      <c r="Q637" s="473"/>
    </row>
    <row r="638" spans="3:17">
      <c r="C638" s="508">
        <f>IF(D612="","-",+C637+1)</f>
        <v>2036</v>
      </c>
      <c r="D638" s="471">
        <f t="shared" si="62"/>
        <v>16409294.777911704</v>
      </c>
      <c r="E638" s="515">
        <f t="shared" si="63"/>
        <v>716041.95394523803</v>
      </c>
      <c r="F638" s="515">
        <f t="shared" si="56"/>
        <v>15693252.823966466</v>
      </c>
      <c r="G638" s="471">
        <f t="shared" si="57"/>
        <v>16051273.800939085</v>
      </c>
      <c r="H638" s="509">
        <f>+J613*G638+E638</f>
        <v>2484563.6481551533</v>
      </c>
      <c r="I638" s="516">
        <f>+J614*G638+E638</f>
        <v>2484563.6481551533</v>
      </c>
      <c r="J638" s="512">
        <f t="shared" si="58"/>
        <v>0</v>
      </c>
      <c r="K638" s="512"/>
      <c r="L638" s="517"/>
      <c r="M638" s="512">
        <f t="shared" si="59"/>
        <v>0</v>
      </c>
      <c r="N638" s="517"/>
      <c r="O638" s="512">
        <f t="shared" si="60"/>
        <v>0</v>
      </c>
      <c r="P638" s="512">
        <f t="shared" si="61"/>
        <v>0</v>
      </c>
      <c r="Q638" s="473"/>
    </row>
    <row r="639" spans="3:17">
      <c r="C639" s="508">
        <f>IF(D612="","-",+C638+1)</f>
        <v>2037</v>
      </c>
      <c r="D639" s="471">
        <f t="shared" si="62"/>
        <v>15693252.823966466</v>
      </c>
      <c r="E639" s="515">
        <f t="shared" si="63"/>
        <v>716041.95394523803</v>
      </c>
      <c r="F639" s="515">
        <f t="shared" si="56"/>
        <v>14977210.870021228</v>
      </c>
      <c r="G639" s="471">
        <f t="shared" si="57"/>
        <v>15335231.846993847</v>
      </c>
      <c r="H639" s="509">
        <f>+J613*G639+E639</f>
        <v>2405670.487075157</v>
      </c>
      <c r="I639" s="516">
        <f>+J614*G639+E639</f>
        <v>2405670.487075157</v>
      </c>
      <c r="J639" s="512">
        <f t="shared" si="58"/>
        <v>0</v>
      </c>
      <c r="K639" s="512"/>
      <c r="L639" s="517"/>
      <c r="M639" s="512">
        <f t="shared" si="59"/>
        <v>0</v>
      </c>
      <c r="N639" s="517"/>
      <c r="O639" s="512">
        <f t="shared" si="60"/>
        <v>0</v>
      </c>
      <c r="P639" s="512">
        <f t="shared" si="61"/>
        <v>0</v>
      </c>
      <c r="Q639" s="473"/>
    </row>
    <row r="640" spans="3:17">
      <c r="C640" s="508">
        <f>IF(D612="","-",+C639+1)</f>
        <v>2038</v>
      </c>
      <c r="D640" s="471">
        <f t="shared" si="62"/>
        <v>14977210.870021228</v>
      </c>
      <c r="E640" s="515">
        <f t="shared" si="63"/>
        <v>716041.95394523803</v>
      </c>
      <c r="F640" s="515">
        <f t="shared" si="56"/>
        <v>14261168.91607599</v>
      </c>
      <c r="G640" s="471">
        <f t="shared" si="57"/>
        <v>14619189.893048609</v>
      </c>
      <c r="H640" s="509">
        <f>+J613*G640+E640</f>
        <v>2326777.3259951607</v>
      </c>
      <c r="I640" s="516">
        <f>+J614*G640+E640</f>
        <v>2326777.3259951607</v>
      </c>
      <c r="J640" s="512">
        <f t="shared" si="58"/>
        <v>0</v>
      </c>
      <c r="K640" s="512"/>
      <c r="L640" s="517"/>
      <c r="M640" s="512">
        <f t="shared" si="59"/>
        <v>0</v>
      </c>
      <c r="N640" s="517"/>
      <c r="O640" s="512">
        <f t="shared" si="60"/>
        <v>0</v>
      </c>
      <c r="P640" s="512">
        <f t="shared" si="61"/>
        <v>0</v>
      </c>
      <c r="Q640" s="473"/>
    </row>
    <row r="641" spans="3:17">
      <c r="C641" s="508">
        <f>IF(D612="","-",+C640+1)</f>
        <v>2039</v>
      </c>
      <c r="D641" s="471">
        <f t="shared" si="62"/>
        <v>14261168.91607599</v>
      </c>
      <c r="E641" s="515">
        <f t="shared" si="63"/>
        <v>716041.95394523803</v>
      </c>
      <c r="F641" s="515">
        <f t="shared" si="56"/>
        <v>13545126.962130751</v>
      </c>
      <c r="G641" s="471">
        <f t="shared" si="57"/>
        <v>13903147.939103371</v>
      </c>
      <c r="H641" s="509">
        <f>+J613*G641+E641</f>
        <v>2247884.1649151645</v>
      </c>
      <c r="I641" s="516">
        <f>+J614*G641+E641</f>
        <v>2247884.1649151645</v>
      </c>
      <c r="J641" s="512">
        <f t="shared" si="58"/>
        <v>0</v>
      </c>
      <c r="K641" s="512"/>
      <c r="L641" s="517"/>
      <c r="M641" s="512">
        <f t="shared" si="59"/>
        <v>0</v>
      </c>
      <c r="N641" s="517"/>
      <c r="O641" s="512">
        <f t="shared" si="60"/>
        <v>0</v>
      </c>
      <c r="P641" s="512">
        <f t="shared" si="61"/>
        <v>0</v>
      </c>
      <c r="Q641" s="473"/>
    </row>
    <row r="642" spans="3:17">
      <c r="C642" s="508">
        <f>IF(D612="","-",+C641+1)</f>
        <v>2040</v>
      </c>
      <c r="D642" s="471">
        <f t="shared" si="62"/>
        <v>13545126.962130751</v>
      </c>
      <c r="E642" s="515">
        <f t="shared" si="63"/>
        <v>716041.95394523803</v>
      </c>
      <c r="F642" s="515">
        <f t="shared" si="56"/>
        <v>12829085.008185513</v>
      </c>
      <c r="G642" s="471">
        <f t="shared" si="57"/>
        <v>13187105.985158132</v>
      </c>
      <c r="H642" s="509">
        <f>+J613*G642+E642</f>
        <v>2168991.0038351682</v>
      </c>
      <c r="I642" s="516">
        <f>+J614*G642+E642</f>
        <v>2168991.0038351682</v>
      </c>
      <c r="J642" s="512">
        <f t="shared" si="58"/>
        <v>0</v>
      </c>
      <c r="K642" s="512"/>
      <c r="L642" s="517"/>
      <c r="M642" s="512">
        <f t="shared" si="59"/>
        <v>0</v>
      </c>
      <c r="N642" s="517"/>
      <c r="O642" s="512">
        <f t="shared" si="60"/>
        <v>0</v>
      </c>
      <c r="P642" s="512">
        <f t="shared" si="61"/>
        <v>0</v>
      </c>
      <c r="Q642" s="473"/>
    </row>
    <row r="643" spans="3:17">
      <c r="C643" s="508">
        <f>IF(D612="","-",+C642+1)</f>
        <v>2041</v>
      </c>
      <c r="D643" s="471">
        <f t="shared" si="62"/>
        <v>12829085.008185513</v>
      </c>
      <c r="E643" s="515">
        <f t="shared" si="63"/>
        <v>716041.95394523803</v>
      </c>
      <c r="F643" s="515">
        <f t="shared" si="56"/>
        <v>12113043.054240275</v>
      </c>
      <c r="G643" s="471">
        <f t="shared" si="57"/>
        <v>12471064.031212894</v>
      </c>
      <c r="H643" s="509">
        <f>+J613*G643+E643</f>
        <v>2090097.8427551719</v>
      </c>
      <c r="I643" s="516">
        <f>+J614*G643+E643</f>
        <v>2090097.8427551719</v>
      </c>
      <c r="J643" s="512">
        <f t="shared" si="58"/>
        <v>0</v>
      </c>
      <c r="K643" s="512"/>
      <c r="L643" s="517"/>
      <c r="M643" s="512">
        <f t="shared" si="59"/>
        <v>0</v>
      </c>
      <c r="N643" s="517"/>
      <c r="O643" s="512">
        <f t="shared" si="60"/>
        <v>0</v>
      </c>
      <c r="P643" s="512">
        <f t="shared" si="61"/>
        <v>0</v>
      </c>
      <c r="Q643" s="473"/>
    </row>
    <row r="644" spans="3:17">
      <c r="C644" s="508">
        <f>IF(D612="","-",+C643+1)</f>
        <v>2042</v>
      </c>
      <c r="D644" s="471">
        <f t="shared" si="62"/>
        <v>12113043.054240275</v>
      </c>
      <c r="E644" s="515">
        <f t="shared" si="63"/>
        <v>716041.95394523803</v>
      </c>
      <c r="F644" s="515">
        <f t="shared" si="56"/>
        <v>11397001.100295037</v>
      </c>
      <c r="G644" s="471">
        <f t="shared" si="57"/>
        <v>11755022.077267656</v>
      </c>
      <c r="H644" s="509">
        <f>+J613*G644+E644</f>
        <v>2011204.6816751757</v>
      </c>
      <c r="I644" s="516">
        <f>+J614*G644+E644</f>
        <v>2011204.6816751757</v>
      </c>
      <c r="J644" s="512">
        <f t="shared" si="58"/>
        <v>0</v>
      </c>
      <c r="K644" s="512"/>
      <c r="L644" s="517"/>
      <c r="M644" s="512">
        <f t="shared" si="59"/>
        <v>0</v>
      </c>
      <c r="N644" s="517"/>
      <c r="O644" s="512">
        <f t="shared" si="60"/>
        <v>0</v>
      </c>
      <c r="P644" s="512">
        <f t="shared" si="61"/>
        <v>0</v>
      </c>
      <c r="Q644" s="473"/>
    </row>
    <row r="645" spans="3:17">
      <c r="C645" s="508">
        <f>IF(D612="","-",+C644+1)</f>
        <v>2043</v>
      </c>
      <c r="D645" s="471">
        <f t="shared" si="62"/>
        <v>11397001.100295037</v>
      </c>
      <c r="E645" s="515">
        <f t="shared" si="63"/>
        <v>716041.95394523803</v>
      </c>
      <c r="F645" s="515">
        <f t="shared" si="56"/>
        <v>10680959.146349799</v>
      </c>
      <c r="G645" s="471">
        <f t="shared" si="57"/>
        <v>11038980.123322418</v>
      </c>
      <c r="H645" s="509">
        <f>+J613*G645+E645</f>
        <v>1932311.5205951794</v>
      </c>
      <c r="I645" s="516">
        <f>+J614*G645+E645</f>
        <v>1932311.5205951794</v>
      </c>
      <c r="J645" s="512">
        <f t="shared" si="58"/>
        <v>0</v>
      </c>
      <c r="K645" s="512"/>
      <c r="L645" s="517"/>
      <c r="M645" s="512">
        <f t="shared" si="59"/>
        <v>0</v>
      </c>
      <c r="N645" s="517"/>
      <c r="O645" s="512">
        <f t="shared" si="60"/>
        <v>0</v>
      </c>
      <c r="P645" s="512">
        <f t="shared" si="61"/>
        <v>0</v>
      </c>
      <c r="Q645" s="473"/>
    </row>
    <row r="646" spans="3:17">
      <c r="C646" s="508">
        <f>IF(D612="","-",+C645+1)</f>
        <v>2044</v>
      </c>
      <c r="D646" s="471">
        <f t="shared" si="62"/>
        <v>10680959.146349799</v>
      </c>
      <c r="E646" s="515">
        <f t="shared" si="63"/>
        <v>716041.95394523803</v>
      </c>
      <c r="F646" s="515">
        <f t="shared" si="56"/>
        <v>9964917.1924045607</v>
      </c>
      <c r="G646" s="471">
        <f t="shared" si="57"/>
        <v>10322938.16937718</v>
      </c>
      <c r="H646" s="509">
        <f>+J613*G646+E646</f>
        <v>1853418.3595151831</v>
      </c>
      <c r="I646" s="516">
        <f>+J614*G646+E646</f>
        <v>1853418.3595151831</v>
      </c>
      <c r="J646" s="512">
        <f t="shared" si="58"/>
        <v>0</v>
      </c>
      <c r="K646" s="512"/>
      <c r="L646" s="517"/>
      <c r="M646" s="512">
        <f t="shared" si="59"/>
        <v>0</v>
      </c>
      <c r="N646" s="517"/>
      <c r="O646" s="512">
        <f t="shared" si="60"/>
        <v>0</v>
      </c>
      <c r="P646" s="512">
        <f t="shared" si="61"/>
        <v>0</v>
      </c>
      <c r="Q646" s="473"/>
    </row>
    <row r="647" spans="3:17">
      <c r="C647" s="508">
        <f>IF(D612="","-",+C646+1)</f>
        <v>2045</v>
      </c>
      <c r="D647" s="471">
        <f t="shared" si="62"/>
        <v>9964917.1924045607</v>
      </c>
      <c r="E647" s="515">
        <f t="shared" si="63"/>
        <v>716041.95394523803</v>
      </c>
      <c r="F647" s="515">
        <f t="shared" si="56"/>
        <v>9248875.2384593226</v>
      </c>
      <c r="G647" s="471">
        <f t="shared" si="57"/>
        <v>9606896.2154319417</v>
      </c>
      <c r="H647" s="509">
        <f>+J613*G647+E647</f>
        <v>1774525.1984351869</v>
      </c>
      <c r="I647" s="516">
        <f>+J614*G647+E647</f>
        <v>1774525.1984351869</v>
      </c>
      <c r="J647" s="512">
        <f t="shared" si="58"/>
        <v>0</v>
      </c>
      <c r="K647" s="512"/>
      <c r="L647" s="517"/>
      <c r="M647" s="512">
        <f t="shared" si="59"/>
        <v>0</v>
      </c>
      <c r="N647" s="517"/>
      <c r="O647" s="512">
        <f t="shared" si="60"/>
        <v>0</v>
      </c>
      <c r="P647" s="512">
        <f t="shared" si="61"/>
        <v>0</v>
      </c>
      <c r="Q647" s="473"/>
    </row>
    <row r="648" spans="3:17">
      <c r="C648" s="508">
        <f>IF(D612="","-",+C647+1)</f>
        <v>2046</v>
      </c>
      <c r="D648" s="471">
        <f t="shared" si="62"/>
        <v>9248875.2384593226</v>
      </c>
      <c r="E648" s="515">
        <f t="shared" si="63"/>
        <v>716041.95394523803</v>
      </c>
      <c r="F648" s="515">
        <f t="shared" si="56"/>
        <v>8532833.2845140845</v>
      </c>
      <c r="G648" s="471">
        <f t="shared" si="57"/>
        <v>8890854.2614867035</v>
      </c>
      <c r="H648" s="509">
        <f>+J613*G648+E648</f>
        <v>1695632.0373551908</v>
      </c>
      <c r="I648" s="516">
        <f>+J614*G648+E648</f>
        <v>1695632.0373551908</v>
      </c>
      <c r="J648" s="512">
        <f t="shared" si="58"/>
        <v>0</v>
      </c>
      <c r="K648" s="512"/>
      <c r="L648" s="517"/>
      <c r="M648" s="512">
        <f t="shared" si="59"/>
        <v>0</v>
      </c>
      <c r="N648" s="517"/>
      <c r="O648" s="512">
        <f t="shared" si="60"/>
        <v>0</v>
      </c>
      <c r="P648" s="512">
        <f t="shared" si="61"/>
        <v>0</v>
      </c>
      <c r="Q648" s="473"/>
    </row>
    <row r="649" spans="3:17">
      <c r="C649" s="508">
        <f>IF(D612="","-",+C648+1)</f>
        <v>2047</v>
      </c>
      <c r="D649" s="471">
        <f t="shared" si="62"/>
        <v>8532833.2845140845</v>
      </c>
      <c r="E649" s="515">
        <f t="shared" si="63"/>
        <v>716041.95394523803</v>
      </c>
      <c r="F649" s="515">
        <f t="shared" si="56"/>
        <v>7816791.3305688463</v>
      </c>
      <c r="G649" s="471">
        <f t="shared" si="57"/>
        <v>8174812.3075414654</v>
      </c>
      <c r="H649" s="509">
        <f>+J613*G649+E649</f>
        <v>1616738.8762751946</v>
      </c>
      <c r="I649" s="516">
        <f>+J614*G649+E649</f>
        <v>1616738.8762751946</v>
      </c>
      <c r="J649" s="512">
        <f t="shared" si="58"/>
        <v>0</v>
      </c>
      <c r="K649" s="512"/>
      <c r="L649" s="517"/>
      <c r="M649" s="512">
        <f t="shared" si="59"/>
        <v>0</v>
      </c>
      <c r="N649" s="517"/>
      <c r="O649" s="512">
        <f t="shared" si="60"/>
        <v>0</v>
      </c>
      <c r="P649" s="512">
        <f t="shared" si="61"/>
        <v>0</v>
      </c>
      <c r="Q649" s="473"/>
    </row>
    <row r="650" spans="3:17">
      <c r="C650" s="508">
        <f>IF(D612="","-",+C649+1)</f>
        <v>2048</v>
      </c>
      <c r="D650" s="471">
        <f t="shared" si="62"/>
        <v>7816791.3305688463</v>
      </c>
      <c r="E650" s="515">
        <f t="shared" si="63"/>
        <v>716041.95394523803</v>
      </c>
      <c r="F650" s="515">
        <f t="shared" si="56"/>
        <v>7100749.3766236082</v>
      </c>
      <c r="G650" s="471">
        <f t="shared" si="57"/>
        <v>7458770.3535962272</v>
      </c>
      <c r="H650" s="509">
        <f>+J613*G650+E650</f>
        <v>1537845.7151951983</v>
      </c>
      <c r="I650" s="516">
        <f>+J614*G650+E650</f>
        <v>1537845.7151951983</v>
      </c>
      <c r="J650" s="512">
        <f t="shared" si="58"/>
        <v>0</v>
      </c>
      <c r="K650" s="512"/>
      <c r="L650" s="517"/>
      <c r="M650" s="512">
        <f t="shared" si="59"/>
        <v>0</v>
      </c>
      <c r="N650" s="517"/>
      <c r="O650" s="512">
        <f t="shared" si="60"/>
        <v>0</v>
      </c>
      <c r="P650" s="512">
        <f t="shared" si="61"/>
        <v>0</v>
      </c>
      <c r="Q650" s="473"/>
    </row>
    <row r="651" spans="3:17">
      <c r="C651" s="508">
        <f>IF(D612="","-",+C650+1)</f>
        <v>2049</v>
      </c>
      <c r="D651" s="471">
        <f t="shared" si="62"/>
        <v>7100749.3766236082</v>
      </c>
      <c r="E651" s="515">
        <f t="shared" si="63"/>
        <v>716041.95394523803</v>
      </c>
      <c r="F651" s="515">
        <f t="shared" si="56"/>
        <v>6384707.42267837</v>
      </c>
      <c r="G651" s="471">
        <f t="shared" si="57"/>
        <v>6742728.3996509891</v>
      </c>
      <c r="H651" s="509">
        <f>+J613*G651+E651</f>
        <v>1458952.5541152023</v>
      </c>
      <c r="I651" s="516">
        <f>+J614*G651+E651</f>
        <v>1458952.5541152023</v>
      </c>
      <c r="J651" s="512">
        <f t="shared" si="58"/>
        <v>0</v>
      </c>
      <c r="K651" s="512"/>
      <c r="L651" s="517"/>
      <c r="M651" s="512">
        <f t="shared" si="59"/>
        <v>0</v>
      </c>
      <c r="N651" s="517"/>
      <c r="O651" s="512">
        <f t="shared" si="60"/>
        <v>0</v>
      </c>
      <c r="P651" s="512">
        <f t="shared" si="61"/>
        <v>0</v>
      </c>
      <c r="Q651" s="473"/>
    </row>
    <row r="652" spans="3:17">
      <c r="C652" s="508">
        <f>IF(D612="","-",+C651+1)</f>
        <v>2050</v>
      </c>
      <c r="D652" s="471">
        <f t="shared" si="62"/>
        <v>6384707.42267837</v>
      </c>
      <c r="E652" s="515">
        <f t="shared" si="63"/>
        <v>716041.95394523803</v>
      </c>
      <c r="F652" s="515">
        <f t="shared" si="56"/>
        <v>5668665.4687331319</v>
      </c>
      <c r="G652" s="471">
        <f t="shared" si="57"/>
        <v>6026686.445705751</v>
      </c>
      <c r="H652" s="509">
        <f>+J613*G652+E652</f>
        <v>1380059.393035206</v>
      </c>
      <c r="I652" s="516">
        <f>+J614*G652+E652</f>
        <v>1380059.393035206</v>
      </c>
      <c r="J652" s="512">
        <f t="shared" si="58"/>
        <v>0</v>
      </c>
      <c r="K652" s="512"/>
      <c r="L652" s="517"/>
      <c r="M652" s="512">
        <f t="shared" si="59"/>
        <v>0</v>
      </c>
      <c r="N652" s="517"/>
      <c r="O652" s="512">
        <f t="shared" si="60"/>
        <v>0</v>
      </c>
      <c r="P652" s="512">
        <f t="shared" si="61"/>
        <v>0</v>
      </c>
      <c r="Q652" s="473"/>
    </row>
    <row r="653" spans="3:17">
      <c r="C653" s="508">
        <f>IF(D612="","-",+C652+1)</f>
        <v>2051</v>
      </c>
      <c r="D653" s="471">
        <f t="shared" si="62"/>
        <v>5668665.4687331319</v>
      </c>
      <c r="E653" s="515">
        <f t="shared" si="63"/>
        <v>716041.95394523803</v>
      </c>
      <c r="F653" s="515">
        <f t="shared" si="56"/>
        <v>4952623.5147878937</v>
      </c>
      <c r="G653" s="471">
        <f t="shared" si="57"/>
        <v>5310644.4917605128</v>
      </c>
      <c r="H653" s="509">
        <f>+J613*G653+E653</f>
        <v>1301166.2319552097</v>
      </c>
      <c r="I653" s="516">
        <f>+J614*G653+E653</f>
        <v>1301166.2319552097</v>
      </c>
      <c r="J653" s="512">
        <f t="shared" si="58"/>
        <v>0</v>
      </c>
      <c r="K653" s="512"/>
      <c r="L653" s="517"/>
      <c r="M653" s="512">
        <f t="shared" si="59"/>
        <v>0</v>
      </c>
      <c r="N653" s="517"/>
      <c r="O653" s="512">
        <f t="shared" si="60"/>
        <v>0</v>
      </c>
      <c r="P653" s="512">
        <f t="shared" si="61"/>
        <v>0</v>
      </c>
      <c r="Q653" s="473"/>
    </row>
    <row r="654" spans="3:17">
      <c r="C654" s="508">
        <f>IF(D612="","-",+C653+1)</f>
        <v>2052</v>
      </c>
      <c r="D654" s="471">
        <f t="shared" si="62"/>
        <v>4952623.5147878937</v>
      </c>
      <c r="E654" s="515">
        <f t="shared" si="63"/>
        <v>716041.95394523803</v>
      </c>
      <c r="F654" s="515">
        <f t="shared" si="56"/>
        <v>4236581.5608426556</v>
      </c>
      <c r="G654" s="471">
        <f t="shared" si="57"/>
        <v>4594602.5378152747</v>
      </c>
      <c r="H654" s="509">
        <f>+J613*G654+E654</f>
        <v>1222273.0708752135</v>
      </c>
      <c r="I654" s="516">
        <f>+J614*G654+E654</f>
        <v>1222273.0708752135</v>
      </c>
      <c r="J654" s="512">
        <f t="shared" si="58"/>
        <v>0</v>
      </c>
      <c r="K654" s="512"/>
      <c r="L654" s="517"/>
      <c r="M654" s="512">
        <f t="shared" si="59"/>
        <v>0</v>
      </c>
      <c r="N654" s="517"/>
      <c r="O654" s="512">
        <f t="shared" si="60"/>
        <v>0</v>
      </c>
      <c r="P654" s="512">
        <f t="shared" si="61"/>
        <v>0</v>
      </c>
      <c r="Q654" s="473"/>
    </row>
    <row r="655" spans="3:17">
      <c r="C655" s="508">
        <f>IF(D612="","-",+C654+1)</f>
        <v>2053</v>
      </c>
      <c r="D655" s="471">
        <f t="shared" si="62"/>
        <v>4236581.5608426556</v>
      </c>
      <c r="E655" s="515">
        <f t="shared" si="63"/>
        <v>716041.95394523803</v>
      </c>
      <c r="F655" s="515">
        <f t="shared" si="56"/>
        <v>3520539.6068974175</v>
      </c>
      <c r="G655" s="471">
        <f t="shared" si="57"/>
        <v>3878560.5838700365</v>
      </c>
      <c r="H655" s="509">
        <f>+J613*G655+E655</f>
        <v>1143379.9097952172</v>
      </c>
      <c r="I655" s="516">
        <f>+J614*G655+E655</f>
        <v>1143379.9097952172</v>
      </c>
      <c r="J655" s="512">
        <f t="shared" si="58"/>
        <v>0</v>
      </c>
      <c r="K655" s="512"/>
      <c r="L655" s="517"/>
      <c r="M655" s="512">
        <f t="shared" si="59"/>
        <v>0</v>
      </c>
      <c r="N655" s="517"/>
      <c r="O655" s="512">
        <f t="shared" si="60"/>
        <v>0</v>
      </c>
      <c r="P655" s="512">
        <f t="shared" si="61"/>
        <v>0</v>
      </c>
      <c r="Q655" s="473"/>
    </row>
    <row r="656" spans="3:17">
      <c r="C656" s="508">
        <f>IF(D612="","-",+C655+1)</f>
        <v>2054</v>
      </c>
      <c r="D656" s="471">
        <f t="shared" si="62"/>
        <v>3520539.6068974175</v>
      </c>
      <c r="E656" s="515">
        <f t="shared" si="63"/>
        <v>716041.95394523803</v>
      </c>
      <c r="F656" s="515">
        <f t="shared" si="56"/>
        <v>2804497.6529521793</v>
      </c>
      <c r="G656" s="471">
        <f t="shared" si="57"/>
        <v>3162518.6299247984</v>
      </c>
      <c r="H656" s="509">
        <f>+J613*G656+E656</f>
        <v>1064486.748715221</v>
      </c>
      <c r="I656" s="516">
        <f>+J614*G656+E656</f>
        <v>1064486.748715221</v>
      </c>
      <c r="J656" s="512">
        <f t="shared" si="58"/>
        <v>0</v>
      </c>
      <c r="K656" s="512"/>
      <c r="L656" s="517"/>
      <c r="M656" s="512">
        <f t="shared" si="59"/>
        <v>0</v>
      </c>
      <c r="N656" s="517"/>
      <c r="O656" s="512">
        <f t="shared" si="60"/>
        <v>0</v>
      </c>
      <c r="P656" s="512">
        <f t="shared" si="61"/>
        <v>0</v>
      </c>
      <c r="Q656" s="473"/>
    </row>
    <row r="657" spans="3:17">
      <c r="C657" s="508">
        <f>IF(D612="","-",+C656+1)</f>
        <v>2055</v>
      </c>
      <c r="D657" s="471">
        <f t="shared" si="62"/>
        <v>2804497.6529521793</v>
      </c>
      <c r="E657" s="515">
        <f t="shared" si="63"/>
        <v>716041.95394523803</v>
      </c>
      <c r="F657" s="515">
        <f t="shared" si="56"/>
        <v>2088455.6990069412</v>
      </c>
      <c r="G657" s="471">
        <f t="shared" si="57"/>
        <v>2446476.6759795602</v>
      </c>
      <c r="H657" s="509">
        <f>+J613*G657+E657</f>
        <v>985593.58763522469</v>
      </c>
      <c r="I657" s="516">
        <f>+J614*G657+E657</f>
        <v>985593.58763522469</v>
      </c>
      <c r="J657" s="512">
        <f t="shared" si="58"/>
        <v>0</v>
      </c>
      <c r="K657" s="512"/>
      <c r="L657" s="517"/>
      <c r="M657" s="512">
        <f t="shared" si="59"/>
        <v>0</v>
      </c>
      <c r="N657" s="517"/>
      <c r="O657" s="512">
        <f t="shared" si="60"/>
        <v>0</v>
      </c>
      <c r="P657" s="512">
        <f t="shared" si="61"/>
        <v>0</v>
      </c>
      <c r="Q657" s="473"/>
    </row>
    <row r="658" spans="3:17">
      <c r="C658" s="508">
        <f>IF(D612="","-",+C657+1)</f>
        <v>2056</v>
      </c>
      <c r="D658" s="471">
        <f t="shared" si="62"/>
        <v>2088455.6990069412</v>
      </c>
      <c r="E658" s="515">
        <f t="shared" si="63"/>
        <v>716041.95394523803</v>
      </c>
      <c r="F658" s="515">
        <f t="shared" si="56"/>
        <v>1372413.745061703</v>
      </c>
      <c r="G658" s="471">
        <f t="shared" si="57"/>
        <v>1730434.7220343221</v>
      </c>
      <c r="H658" s="509">
        <f>+J613*G658+E658</f>
        <v>906700.42655522854</v>
      </c>
      <c r="I658" s="516">
        <f>+J614*G658+E658</f>
        <v>906700.42655522854</v>
      </c>
      <c r="J658" s="512">
        <f t="shared" si="58"/>
        <v>0</v>
      </c>
      <c r="K658" s="512"/>
      <c r="L658" s="517"/>
      <c r="M658" s="512">
        <f t="shared" si="59"/>
        <v>0</v>
      </c>
      <c r="N658" s="517"/>
      <c r="O658" s="512">
        <f t="shared" si="60"/>
        <v>0</v>
      </c>
      <c r="P658" s="512">
        <f t="shared" si="61"/>
        <v>0</v>
      </c>
      <c r="Q658" s="473"/>
    </row>
    <row r="659" spans="3:17">
      <c r="C659" s="508">
        <f>IF(D612="","-",+C658+1)</f>
        <v>2057</v>
      </c>
      <c r="D659" s="471">
        <f t="shared" si="62"/>
        <v>1372413.745061703</v>
      </c>
      <c r="E659" s="515">
        <f t="shared" si="63"/>
        <v>716041.95394523803</v>
      </c>
      <c r="F659" s="515">
        <f t="shared" si="56"/>
        <v>656371.791116465</v>
      </c>
      <c r="G659" s="471">
        <f t="shared" si="57"/>
        <v>1014392.768089084</v>
      </c>
      <c r="H659" s="509">
        <f>+J613*G659+E659</f>
        <v>827807.26547523227</v>
      </c>
      <c r="I659" s="516">
        <f>+J614*G659+E659</f>
        <v>827807.26547523227</v>
      </c>
      <c r="J659" s="512">
        <f t="shared" si="58"/>
        <v>0</v>
      </c>
      <c r="K659" s="512"/>
      <c r="L659" s="517"/>
      <c r="M659" s="512">
        <f t="shared" si="59"/>
        <v>0</v>
      </c>
      <c r="N659" s="517"/>
      <c r="O659" s="512">
        <f t="shared" si="60"/>
        <v>0</v>
      </c>
      <c r="P659" s="512">
        <f t="shared" si="61"/>
        <v>0</v>
      </c>
      <c r="Q659" s="473"/>
    </row>
    <row r="660" spans="3:17">
      <c r="C660" s="508">
        <f>IF(D612="","-",+C659+1)</f>
        <v>2058</v>
      </c>
      <c r="D660" s="471">
        <f t="shared" si="62"/>
        <v>656371.791116465</v>
      </c>
      <c r="E660" s="515">
        <f t="shared" si="63"/>
        <v>656371.791116465</v>
      </c>
      <c r="F660" s="515">
        <f t="shared" si="56"/>
        <v>0</v>
      </c>
      <c r="G660" s="471">
        <f t="shared" si="57"/>
        <v>328185.8955582325</v>
      </c>
      <c r="H660" s="509">
        <f>+J613*G660+E660</f>
        <v>692531.15661146306</v>
      </c>
      <c r="I660" s="516">
        <f>+J614*G660+E660</f>
        <v>692531.15661146306</v>
      </c>
      <c r="J660" s="512">
        <f t="shared" si="58"/>
        <v>0</v>
      </c>
      <c r="K660" s="512"/>
      <c r="L660" s="517"/>
      <c r="M660" s="512">
        <f t="shared" si="59"/>
        <v>0</v>
      </c>
      <c r="N660" s="517"/>
      <c r="O660" s="512">
        <f t="shared" si="60"/>
        <v>0</v>
      </c>
      <c r="P660" s="512">
        <f t="shared" si="61"/>
        <v>0</v>
      </c>
      <c r="Q660" s="473"/>
    </row>
    <row r="661" spans="3:17">
      <c r="C661" s="508">
        <f>IF(D612="","-",+C660+1)</f>
        <v>2059</v>
      </c>
      <c r="D661" s="471">
        <f t="shared" si="62"/>
        <v>0</v>
      </c>
      <c r="E661" s="515">
        <f t="shared" si="63"/>
        <v>0</v>
      </c>
      <c r="F661" s="515">
        <f t="shared" si="56"/>
        <v>0</v>
      </c>
      <c r="G661" s="471">
        <f t="shared" si="57"/>
        <v>0</v>
      </c>
      <c r="H661" s="509">
        <f>+J613*G661+E661</f>
        <v>0</v>
      </c>
      <c r="I661" s="516">
        <f>+J614*G661+E661</f>
        <v>0</v>
      </c>
      <c r="J661" s="512">
        <f t="shared" si="58"/>
        <v>0</v>
      </c>
      <c r="K661" s="512"/>
      <c r="L661" s="517"/>
      <c r="M661" s="512">
        <f t="shared" si="59"/>
        <v>0</v>
      </c>
      <c r="N661" s="517"/>
      <c r="O661" s="512">
        <f t="shared" si="60"/>
        <v>0</v>
      </c>
      <c r="P661" s="512">
        <f t="shared" si="61"/>
        <v>0</v>
      </c>
      <c r="Q661" s="473"/>
    </row>
    <row r="662" spans="3:17">
      <c r="C662" s="508">
        <f>IF(D612="","-",+C661+1)</f>
        <v>2060</v>
      </c>
      <c r="D662" s="471">
        <f t="shared" si="62"/>
        <v>0</v>
      </c>
      <c r="E662" s="515">
        <f t="shared" si="63"/>
        <v>0</v>
      </c>
      <c r="F662" s="515">
        <f t="shared" si="56"/>
        <v>0</v>
      </c>
      <c r="G662" s="471">
        <f t="shared" si="57"/>
        <v>0</v>
      </c>
      <c r="H662" s="509">
        <f>+J613*G662+E662</f>
        <v>0</v>
      </c>
      <c r="I662" s="516">
        <f>+J614*G662+E662</f>
        <v>0</v>
      </c>
      <c r="J662" s="512">
        <f t="shared" si="58"/>
        <v>0</v>
      </c>
      <c r="K662" s="512"/>
      <c r="L662" s="517"/>
      <c r="M662" s="512">
        <f t="shared" si="59"/>
        <v>0</v>
      </c>
      <c r="N662" s="517"/>
      <c r="O662" s="512">
        <f t="shared" si="60"/>
        <v>0</v>
      </c>
      <c r="P662" s="512">
        <f t="shared" si="61"/>
        <v>0</v>
      </c>
      <c r="Q662" s="473"/>
    </row>
    <row r="663" spans="3:17">
      <c r="C663" s="508">
        <f>IF(D612="","-",+C662+1)</f>
        <v>2061</v>
      </c>
      <c r="D663" s="471">
        <f t="shared" si="62"/>
        <v>0</v>
      </c>
      <c r="E663" s="515">
        <f t="shared" si="63"/>
        <v>0</v>
      </c>
      <c r="F663" s="515">
        <f t="shared" si="56"/>
        <v>0</v>
      </c>
      <c r="G663" s="471">
        <f t="shared" si="57"/>
        <v>0</v>
      </c>
      <c r="H663" s="509">
        <f>+J613*G663+E663</f>
        <v>0</v>
      </c>
      <c r="I663" s="516">
        <f>+J614*G663+E663</f>
        <v>0</v>
      </c>
      <c r="J663" s="512">
        <f t="shared" si="58"/>
        <v>0</v>
      </c>
      <c r="K663" s="512"/>
      <c r="L663" s="517"/>
      <c r="M663" s="512">
        <f t="shared" si="59"/>
        <v>0</v>
      </c>
      <c r="N663" s="517"/>
      <c r="O663" s="512">
        <f t="shared" si="60"/>
        <v>0</v>
      </c>
      <c r="P663" s="512">
        <f t="shared" si="61"/>
        <v>0</v>
      </c>
      <c r="Q663" s="473"/>
    </row>
    <row r="664" spans="3:17">
      <c r="C664" s="508">
        <f>IF(D612="","-",+C663+1)</f>
        <v>2062</v>
      </c>
      <c r="D664" s="471">
        <f t="shared" si="62"/>
        <v>0</v>
      </c>
      <c r="E664" s="515">
        <f t="shared" si="63"/>
        <v>0</v>
      </c>
      <c r="F664" s="515">
        <f t="shared" si="56"/>
        <v>0</v>
      </c>
      <c r="G664" s="471">
        <f t="shared" si="57"/>
        <v>0</v>
      </c>
      <c r="H664" s="509">
        <f>+J613*G664+E664</f>
        <v>0</v>
      </c>
      <c r="I664" s="516">
        <f>+J614*G664+E664</f>
        <v>0</v>
      </c>
      <c r="J664" s="512">
        <f t="shared" si="58"/>
        <v>0</v>
      </c>
      <c r="K664" s="512"/>
      <c r="L664" s="517"/>
      <c r="M664" s="512">
        <f t="shared" si="59"/>
        <v>0</v>
      </c>
      <c r="N664" s="517"/>
      <c r="O664" s="512">
        <f t="shared" si="60"/>
        <v>0</v>
      </c>
      <c r="P664" s="512">
        <f t="shared" si="61"/>
        <v>0</v>
      </c>
      <c r="Q664" s="473"/>
    </row>
    <row r="665" spans="3:17">
      <c r="C665" s="508">
        <f>IF(D612="","-",+C664+1)</f>
        <v>2063</v>
      </c>
      <c r="D665" s="471">
        <f t="shared" si="62"/>
        <v>0</v>
      </c>
      <c r="E665" s="515">
        <f t="shared" si="63"/>
        <v>0</v>
      </c>
      <c r="F665" s="515">
        <f t="shared" si="56"/>
        <v>0</v>
      </c>
      <c r="G665" s="471">
        <f t="shared" si="57"/>
        <v>0</v>
      </c>
      <c r="H665" s="509">
        <f>+J613*G665+E665</f>
        <v>0</v>
      </c>
      <c r="I665" s="516">
        <f>+J614*G665+E665</f>
        <v>0</v>
      </c>
      <c r="J665" s="512">
        <f t="shared" si="58"/>
        <v>0</v>
      </c>
      <c r="K665" s="512"/>
      <c r="L665" s="517"/>
      <c r="M665" s="512">
        <f t="shared" si="59"/>
        <v>0</v>
      </c>
      <c r="N665" s="517"/>
      <c r="O665" s="512">
        <f t="shared" si="60"/>
        <v>0</v>
      </c>
      <c r="P665" s="512">
        <f t="shared" si="61"/>
        <v>0</v>
      </c>
      <c r="Q665" s="473"/>
    </row>
    <row r="666" spans="3:17">
      <c r="C666" s="508">
        <f>IF(D612="","-",+C665+1)</f>
        <v>2064</v>
      </c>
      <c r="D666" s="471">
        <f t="shared" si="62"/>
        <v>0</v>
      </c>
      <c r="E666" s="515">
        <f t="shared" si="63"/>
        <v>0</v>
      </c>
      <c r="F666" s="515">
        <f t="shared" si="56"/>
        <v>0</v>
      </c>
      <c r="G666" s="471">
        <f t="shared" si="57"/>
        <v>0</v>
      </c>
      <c r="H666" s="509">
        <f>+J613*G666+E666</f>
        <v>0</v>
      </c>
      <c r="I666" s="516">
        <f>+J614*G666+E666</f>
        <v>0</v>
      </c>
      <c r="J666" s="512">
        <f t="shared" si="58"/>
        <v>0</v>
      </c>
      <c r="K666" s="512"/>
      <c r="L666" s="517"/>
      <c r="M666" s="512">
        <f t="shared" si="59"/>
        <v>0</v>
      </c>
      <c r="N666" s="517"/>
      <c r="O666" s="512">
        <f t="shared" si="60"/>
        <v>0</v>
      </c>
      <c r="P666" s="512">
        <f t="shared" si="61"/>
        <v>0</v>
      </c>
      <c r="Q666" s="473"/>
    </row>
    <row r="667" spans="3:17">
      <c r="C667" s="508">
        <f>IF(D612="","-",+C666+1)</f>
        <v>2065</v>
      </c>
      <c r="D667" s="471">
        <f t="shared" si="62"/>
        <v>0</v>
      </c>
      <c r="E667" s="515">
        <f t="shared" si="63"/>
        <v>0</v>
      </c>
      <c r="F667" s="515">
        <f t="shared" si="56"/>
        <v>0</v>
      </c>
      <c r="G667" s="471">
        <f t="shared" si="57"/>
        <v>0</v>
      </c>
      <c r="H667" s="509">
        <f>+J613*G667+E667</f>
        <v>0</v>
      </c>
      <c r="I667" s="516">
        <f>+J614*G667+E667</f>
        <v>0</v>
      </c>
      <c r="J667" s="512">
        <f t="shared" si="58"/>
        <v>0</v>
      </c>
      <c r="K667" s="512"/>
      <c r="L667" s="517"/>
      <c r="M667" s="512">
        <f t="shared" si="59"/>
        <v>0</v>
      </c>
      <c r="N667" s="517"/>
      <c r="O667" s="512">
        <f t="shared" si="60"/>
        <v>0</v>
      </c>
      <c r="P667" s="512">
        <f t="shared" si="61"/>
        <v>0</v>
      </c>
      <c r="Q667" s="473"/>
    </row>
    <row r="668" spans="3:17">
      <c r="C668" s="508">
        <f>IF(D612="","-",+C667+1)</f>
        <v>2066</v>
      </c>
      <c r="D668" s="471">
        <f t="shared" si="62"/>
        <v>0</v>
      </c>
      <c r="E668" s="515">
        <f t="shared" si="63"/>
        <v>0</v>
      </c>
      <c r="F668" s="515">
        <f t="shared" si="56"/>
        <v>0</v>
      </c>
      <c r="G668" s="471">
        <f t="shared" si="57"/>
        <v>0</v>
      </c>
      <c r="H668" s="509">
        <f>+J613*G668+E668</f>
        <v>0</v>
      </c>
      <c r="I668" s="516">
        <f>+J614*G668+E668</f>
        <v>0</v>
      </c>
      <c r="J668" s="512">
        <f t="shared" si="58"/>
        <v>0</v>
      </c>
      <c r="K668" s="512"/>
      <c r="L668" s="517"/>
      <c r="M668" s="512">
        <f t="shared" si="59"/>
        <v>0</v>
      </c>
      <c r="N668" s="517"/>
      <c r="O668" s="512">
        <f t="shared" si="60"/>
        <v>0</v>
      </c>
      <c r="P668" s="512">
        <f t="shared" si="61"/>
        <v>0</v>
      </c>
      <c r="Q668" s="473"/>
    </row>
    <row r="669" spans="3:17">
      <c r="C669" s="508">
        <f>IF(D612="","-",+C668+1)</f>
        <v>2067</v>
      </c>
      <c r="D669" s="471">
        <f t="shared" si="62"/>
        <v>0</v>
      </c>
      <c r="E669" s="515">
        <f t="shared" si="63"/>
        <v>0</v>
      </c>
      <c r="F669" s="515">
        <f t="shared" si="56"/>
        <v>0</v>
      </c>
      <c r="G669" s="471">
        <f t="shared" si="57"/>
        <v>0</v>
      </c>
      <c r="H669" s="509">
        <f>+J613*G669+E669</f>
        <v>0</v>
      </c>
      <c r="I669" s="516">
        <f>+J614*G669+E669</f>
        <v>0</v>
      </c>
      <c r="J669" s="512">
        <f t="shared" si="58"/>
        <v>0</v>
      </c>
      <c r="K669" s="512"/>
      <c r="L669" s="517"/>
      <c r="M669" s="512">
        <f t="shared" si="59"/>
        <v>0</v>
      </c>
      <c r="N669" s="517"/>
      <c r="O669" s="512">
        <f t="shared" si="60"/>
        <v>0</v>
      </c>
      <c r="P669" s="512">
        <f t="shared" si="61"/>
        <v>0</v>
      </c>
      <c r="Q669" s="473"/>
    </row>
    <row r="670" spans="3:17">
      <c r="C670" s="508">
        <f>IF(D612="","-",+C669+1)</f>
        <v>2068</v>
      </c>
      <c r="D670" s="471">
        <f t="shared" si="62"/>
        <v>0</v>
      </c>
      <c r="E670" s="515">
        <f t="shared" si="63"/>
        <v>0</v>
      </c>
      <c r="F670" s="515">
        <f t="shared" si="56"/>
        <v>0</v>
      </c>
      <c r="G670" s="471">
        <f t="shared" si="57"/>
        <v>0</v>
      </c>
      <c r="H670" s="509">
        <f>+J613*G670+E670</f>
        <v>0</v>
      </c>
      <c r="I670" s="516">
        <f>+J614*G670+E670</f>
        <v>0</v>
      </c>
      <c r="J670" s="512">
        <f t="shared" si="58"/>
        <v>0</v>
      </c>
      <c r="K670" s="512"/>
      <c r="L670" s="517"/>
      <c r="M670" s="512">
        <f t="shared" si="59"/>
        <v>0</v>
      </c>
      <c r="N670" s="517"/>
      <c r="O670" s="512">
        <f t="shared" si="60"/>
        <v>0</v>
      </c>
      <c r="P670" s="512">
        <f t="shared" si="61"/>
        <v>0</v>
      </c>
      <c r="Q670" s="473"/>
    </row>
    <row r="671" spans="3:17">
      <c r="C671" s="508">
        <f>IF(D612="","-",+C670+1)</f>
        <v>2069</v>
      </c>
      <c r="D671" s="471">
        <f t="shared" si="62"/>
        <v>0</v>
      </c>
      <c r="E671" s="515">
        <f t="shared" si="63"/>
        <v>0</v>
      </c>
      <c r="F671" s="515">
        <f t="shared" si="56"/>
        <v>0</v>
      </c>
      <c r="G671" s="471">
        <f t="shared" si="57"/>
        <v>0</v>
      </c>
      <c r="H671" s="509">
        <f>+J613*G671+E671</f>
        <v>0</v>
      </c>
      <c r="I671" s="516">
        <f>+J614*G671+E671</f>
        <v>0</v>
      </c>
      <c r="J671" s="512">
        <f t="shared" si="58"/>
        <v>0</v>
      </c>
      <c r="K671" s="512"/>
      <c r="L671" s="517"/>
      <c r="M671" s="512">
        <f t="shared" si="59"/>
        <v>0</v>
      </c>
      <c r="N671" s="517"/>
      <c r="O671" s="512">
        <f t="shared" si="60"/>
        <v>0</v>
      </c>
      <c r="P671" s="512">
        <f t="shared" si="61"/>
        <v>0</v>
      </c>
      <c r="Q671" s="473"/>
    </row>
    <row r="672" spans="3:17">
      <c r="C672" s="508">
        <f>IF(D612="","-",+C671+1)</f>
        <v>2070</v>
      </c>
      <c r="D672" s="471">
        <f t="shared" si="62"/>
        <v>0</v>
      </c>
      <c r="E672" s="515">
        <f t="shared" si="63"/>
        <v>0</v>
      </c>
      <c r="F672" s="515">
        <f t="shared" si="56"/>
        <v>0</v>
      </c>
      <c r="G672" s="471">
        <f t="shared" si="57"/>
        <v>0</v>
      </c>
      <c r="H672" s="509">
        <f>+J613*G672+E672</f>
        <v>0</v>
      </c>
      <c r="I672" s="516">
        <f>+J614*G672+E672</f>
        <v>0</v>
      </c>
      <c r="J672" s="512">
        <f t="shared" si="58"/>
        <v>0</v>
      </c>
      <c r="K672" s="512"/>
      <c r="L672" s="517"/>
      <c r="M672" s="512">
        <f t="shared" si="59"/>
        <v>0</v>
      </c>
      <c r="N672" s="517"/>
      <c r="O672" s="512">
        <f t="shared" si="60"/>
        <v>0</v>
      </c>
      <c r="P672" s="512">
        <f t="shared" si="61"/>
        <v>0</v>
      </c>
      <c r="Q672" s="473"/>
    </row>
    <row r="673" spans="1:17">
      <c r="C673" s="508">
        <f>IF(D612="","-",+C672+1)</f>
        <v>2071</v>
      </c>
      <c r="D673" s="471">
        <f t="shared" si="62"/>
        <v>0</v>
      </c>
      <c r="E673" s="515">
        <f t="shared" si="63"/>
        <v>0</v>
      </c>
      <c r="F673" s="515">
        <f t="shared" si="56"/>
        <v>0</v>
      </c>
      <c r="G673" s="471">
        <f t="shared" si="57"/>
        <v>0</v>
      </c>
      <c r="H673" s="509">
        <f>+J613*G673+E673</f>
        <v>0</v>
      </c>
      <c r="I673" s="516">
        <f>+J614*G673+E673</f>
        <v>0</v>
      </c>
      <c r="J673" s="512">
        <f t="shared" si="58"/>
        <v>0</v>
      </c>
      <c r="K673" s="512"/>
      <c r="L673" s="517"/>
      <c r="M673" s="512">
        <f t="shared" si="59"/>
        <v>0</v>
      </c>
      <c r="N673" s="517"/>
      <c r="O673" s="512">
        <f t="shared" si="60"/>
        <v>0</v>
      </c>
      <c r="P673" s="512">
        <f t="shared" si="61"/>
        <v>0</v>
      </c>
      <c r="Q673" s="473"/>
    </row>
    <row r="674" spans="1:17">
      <c r="C674" s="508">
        <f>IF(D612="","-",+C673+1)</f>
        <v>2072</v>
      </c>
      <c r="D674" s="471">
        <f t="shared" si="62"/>
        <v>0</v>
      </c>
      <c r="E674" s="515">
        <f t="shared" si="63"/>
        <v>0</v>
      </c>
      <c r="F674" s="515">
        <f t="shared" si="56"/>
        <v>0</v>
      </c>
      <c r="G674" s="471">
        <f t="shared" si="57"/>
        <v>0</v>
      </c>
      <c r="H674" s="509">
        <f>+J613*G674+E674</f>
        <v>0</v>
      </c>
      <c r="I674" s="516">
        <f>+J614*G674+E674</f>
        <v>0</v>
      </c>
      <c r="J674" s="512">
        <f t="shared" si="58"/>
        <v>0</v>
      </c>
      <c r="K674" s="512"/>
      <c r="L674" s="517"/>
      <c r="M674" s="512">
        <f t="shared" si="59"/>
        <v>0</v>
      </c>
      <c r="N674" s="517"/>
      <c r="O674" s="512">
        <f t="shared" si="60"/>
        <v>0</v>
      </c>
      <c r="P674" s="512">
        <f t="shared" si="61"/>
        <v>0</v>
      </c>
      <c r="Q674" s="473"/>
    </row>
    <row r="675" spans="1:17">
      <c r="C675" s="508">
        <f>IF(D612="","-",+C674+1)</f>
        <v>2073</v>
      </c>
      <c r="D675" s="471">
        <f t="shared" si="62"/>
        <v>0</v>
      </c>
      <c r="E675" s="515">
        <f t="shared" si="63"/>
        <v>0</v>
      </c>
      <c r="F675" s="515">
        <f t="shared" si="56"/>
        <v>0</v>
      </c>
      <c r="G675" s="471">
        <f t="shared" si="57"/>
        <v>0</v>
      </c>
      <c r="H675" s="509">
        <f>+J613*G675+E675</f>
        <v>0</v>
      </c>
      <c r="I675" s="516">
        <f>+J614*G675+E675</f>
        <v>0</v>
      </c>
      <c r="J675" s="512">
        <f t="shared" si="58"/>
        <v>0</v>
      </c>
      <c r="K675" s="512"/>
      <c r="L675" s="517"/>
      <c r="M675" s="512">
        <f t="shared" si="59"/>
        <v>0</v>
      </c>
      <c r="N675" s="517"/>
      <c r="O675" s="512">
        <f t="shared" si="60"/>
        <v>0</v>
      </c>
      <c r="P675" s="512">
        <f t="shared" si="61"/>
        <v>0</v>
      </c>
      <c r="Q675" s="473"/>
    </row>
    <row r="676" spans="1:17">
      <c r="C676" s="508">
        <f>IF(D612="","-",+C675+1)</f>
        <v>2074</v>
      </c>
      <c r="D676" s="471">
        <f t="shared" si="62"/>
        <v>0</v>
      </c>
      <c r="E676" s="515">
        <f t="shared" si="63"/>
        <v>0</v>
      </c>
      <c r="F676" s="515">
        <f t="shared" si="56"/>
        <v>0</v>
      </c>
      <c r="G676" s="471">
        <f t="shared" si="57"/>
        <v>0</v>
      </c>
      <c r="H676" s="509">
        <f>+J613*G676+E676</f>
        <v>0</v>
      </c>
      <c r="I676" s="516">
        <f>+J614*G676+E676</f>
        <v>0</v>
      </c>
      <c r="J676" s="512">
        <f t="shared" si="58"/>
        <v>0</v>
      </c>
      <c r="K676" s="512"/>
      <c r="L676" s="517"/>
      <c r="M676" s="512">
        <f t="shared" si="59"/>
        <v>0</v>
      </c>
      <c r="N676" s="517"/>
      <c r="O676" s="512">
        <f t="shared" si="60"/>
        <v>0</v>
      </c>
      <c r="P676" s="512">
        <f t="shared" si="61"/>
        <v>0</v>
      </c>
      <c r="Q676" s="473"/>
    </row>
    <row r="677" spans="1:17" ht="13.5" thickBot="1">
      <c r="C677" s="520">
        <f>IF(D612="","-",+C676+1)</f>
        <v>2075</v>
      </c>
      <c r="D677" s="521">
        <f t="shared" si="62"/>
        <v>0</v>
      </c>
      <c r="E677" s="522">
        <f t="shared" si="63"/>
        <v>0</v>
      </c>
      <c r="F677" s="522">
        <f t="shared" si="56"/>
        <v>0</v>
      </c>
      <c r="G677" s="521">
        <f t="shared" si="57"/>
        <v>0</v>
      </c>
      <c r="H677" s="523">
        <f>+J613*G677+E677</f>
        <v>0</v>
      </c>
      <c r="I677" s="523">
        <f>+J614*G677+E677</f>
        <v>0</v>
      </c>
      <c r="J677" s="524">
        <f t="shared" si="58"/>
        <v>0</v>
      </c>
      <c r="K677" s="512"/>
      <c r="L677" s="525"/>
      <c r="M677" s="524">
        <f t="shared" si="59"/>
        <v>0</v>
      </c>
      <c r="N677" s="525"/>
      <c r="O677" s="524">
        <f t="shared" si="60"/>
        <v>0</v>
      </c>
      <c r="P677" s="524">
        <f t="shared" si="61"/>
        <v>0</v>
      </c>
      <c r="Q677" s="473"/>
    </row>
    <row r="678" spans="1:17">
      <c r="C678" s="471" t="s">
        <v>288</v>
      </c>
      <c r="D678" s="469"/>
      <c r="E678" s="469">
        <f>SUM(E618:E677)</f>
        <v>30073762.065699998</v>
      </c>
      <c r="F678" s="469"/>
      <c r="G678" s="469"/>
      <c r="H678" s="469">
        <f>SUM(H618:H677)</f>
        <v>102694916.83983649</v>
      </c>
      <c r="I678" s="469">
        <f>SUM(I618:I677)</f>
        <v>102694916.83983649</v>
      </c>
      <c r="J678" s="469">
        <f>SUM(J618:J677)</f>
        <v>0</v>
      </c>
      <c r="K678" s="469"/>
      <c r="L678" s="469"/>
      <c r="M678" s="469"/>
      <c r="N678" s="469"/>
      <c r="O678" s="469"/>
      <c r="Q678" s="469"/>
    </row>
    <row r="679" spans="1:17">
      <c r="D679" s="78"/>
      <c r="E679" s="4"/>
      <c r="F679" s="4"/>
      <c r="G679" s="4"/>
      <c r="H679" s="4"/>
      <c r="I679" s="454"/>
      <c r="J679" s="454"/>
      <c r="K679" s="469"/>
      <c r="L679" s="454"/>
      <c r="M679" s="454"/>
      <c r="N679" s="454"/>
      <c r="O679" s="454"/>
      <c r="Q679" s="469"/>
    </row>
    <row r="680" spans="1:17">
      <c r="C680" s="4" t="s">
        <v>600</v>
      </c>
      <c r="D680" s="78"/>
      <c r="E680" s="4"/>
      <c r="F680" s="4"/>
      <c r="G680" s="4"/>
      <c r="H680" s="4"/>
      <c r="I680" s="454"/>
      <c r="J680" s="454"/>
      <c r="K680" s="469"/>
      <c r="L680" s="454"/>
      <c r="M680" s="454"/>
      <c r="N680" s="454"/>
      <c r="O680" s="454"/>
      <c r="Q680" s="469"/>
    </row>
    <row r="681" spans="1:17">
      <c r="D681" s="78"/>
      <c r="E681" s="4"/>
      <c r="F681" s="4"/>
      <c r="G681" s="4"/>
      <c r="H681" s="4"/>
      <c r="I681" s="454"/>
      <c r="J681" s="454"/>
      <c r="K681" s="469"/>
      <c r="L681" s="454"/>
      <c r="M681" s="454"/>
      <c r="N681" s="454"/>
      <c r="O681" s="454"/>
      <c r="Q681" s="469"/>
    </row>
    <row r="682" spans="1:17">
      <c r="C682" s="4" t="s">
        <v>601</v>
      </c>
      <c r="D682" s="471"/>
      <c r="E682" s="471"/>
      <c r="F682" s="471"/>
      <c r="G682" s="471"/>
      <c r="H682" s="469"/>
      <c r="I682" s="469"/>
      <c r="J682" s="473"/>
      <c r="K682" s="473"/>
      <c r="L682" s="473"/>
      <c r="M682" s="473"/>
      <c r="N682" s="473"/>
      <c r="O682" s="473"/>
      <c r="Q682" s="473"/>
    </row>
    <row r="683" spans="1:17">
      <c r="C683" s="4" t="s">
        <v>476</v>
      </c>
      <c r="D683" s="471"/>
      <c r="E683" s="471"/>
      <c r="F683" s="471"/>
      <c r="G683" s="471"/>
      <c r="H683" s="469"/>
      <c r="I683" s="469"/>
      <c r="J683" s="473"/>
      <c r="K683" s="473"/>
      <c r="L683" s="473"/>
      <c r="M683" s="473"/>
      <c r="N683" s="473"/>
      <c r="O683" s="473"/>
      <c r="Q683" s="473"/>
    </row>
    <row r="684" spans="1:17">
      <c r="C684" s="4" t="s">
        <v>289</v>
      </c>
      <c r="D684" s="471"/>
      <c r="E684" s="471"/>
      <c r="F684" s="471"/>
      <c r="G684" s="471"/>
      <c r="H684" s="469"/>
      <c r="I684" s="469"/>
      <c r="J684" s="473"/>
      <c r="K684" s="473"/>
      <c r="L684" s="473"/>
      <c r="M684" s="473"/>
      <c r="N684" s="473"/>
      <c r="O684" s="473"/>
      <c r="Q684" s="473"/>
    </row>
    <row r="685" spans="1:17" ht="20.25">
      <c r="A685" s="413" t="s">
        <v>767</v>
      </c>
      <c r="B685" s="4"/>
      <c r="C685" s="4"/>
      <c r="D685" s="78"/>
      <c r="E685" s="4"/>
      <c r="F685" s="80"/>
      <c r="G685" s="80"/>
      <c r="H685" s="4"/>
      <c r="I685" s="454"/>
      <c r="L685" s="11"/>
      <c r="M685" s="11"/>
      <c r="N685" s="11"/>
      <c r="O685" s="11" t="str">
        <f>"Page "&amp;SUM(Q$3:Q685)&amp;" of "</f>
        <v xml:space="preserve">Page 9 of </v>
      </c>
      <c r="P685" s="414">
        <f>COUNT(Q$8:Q$58123)</f>
        <v>16</v>
      </c>
      <c r="Q685" s="544">
        <v>1</v>
      </c>
    </row>
    <row r="686" spans="1:17">
      <c r="B686" s="4"/>
      <c r="C686" s="4"/>
      <c r="D686" s="78"/>
      <c r="E686" s="4"/>
      <c r="F686" s="4"/>
      <c r="G686" s="4"/>
      <c r="H686" s="4"/>
      <c r="I686" s="454"/>
      <c r="J686" s="4"/>
      <c r="K686" s="4"/>
    </row>
    <row r="687" spans="1:17" ht="18">
      <c r="B687" s="415" t="s">
        <v>174</v>
      </c>
      <c r="C687" s="474" t="s">
        <v>290</v>
      </c>
      <c r="D687" s="78"/>
      <c r="E687" s="4"/>
      <c r="F687" s="4"/>
      <c r="G687" s="4"/>
      <c r="H687" s="4"/>
      <c r="I687" s="454"/>
      <c r="J687" s="454"/>
      <c r="K687" s="469"/>
      <c r="L687" s="454"/>
      <c r="M687" s="454"/>
      <c r="N687" s="454"/>
      <c r="O687" s="454"/>
      <c r="Q687" s="469"/>
    </row>
    <row r="688" spans="1:17" ht="18.75">
      <c r="B688" s="415"/>
      <c r="C688" s="13"/>
      <c r="D688" s="78"/>
      <c r="E688" s="4"/>
      <c r="F688" s="4"/>
      <c r="G688" s="4"/>
      <c r="H688" s="4"/>
      <c r="I688" s="454"/>
      <c r="J688" s="454"/>
      <c r="K688" s="469"/>
      <c r="L688" s="454"/>
      <c r="M688" s="454"/>
      <c r="N688" s="454"/>
      <c r="O688" s="454"/>
      <c r="Q688" s="469"/>
    </row>
    <row r="689" spans="1:17" ht="18.75">
      <c r="B689" s="415"/>
      <c r="C689" s="13" t="s">
        <v>291</v>
      </c>
      <c r="D689" s="78"/>
      <c r="E689" s="4"/>
      <c r="F689" s="4"/>
      <c r="G689" s="4"/>
      <c r="H689" s="4"/>
      <c r="I689" s="454"/>
      <c r="J689" s="454"/>
      <c r="K689" s="469"/>
      <c r="L689" s="454"/>
      <c r="M689" s="454"/>
      <c r="N689" s="454"/>
      <c r="O689" s="454"/>
      <c r="Q689" s="469"/>
    </row>
    <row r="690" spans="1:17" ht="15.75" thickBot="1">
      <c r="C690" s="250"/>
      <c r="D690" s="78"/>
      <c r="E690" s="4"/>
      <c r="F690" s="4"/>
      <c r="G690" s="4"/>
      <c r="H690" s="4"/>
      <c r="I690" s="454"/>
      <c r="J690" s="454"/>
      <c r="K690" s="469"/>
      <c r="L690" s="454"/>
      <c r="M690" s="454"/>
      <c r="N690" s="454"/>
      <c r="O690" s="454"/>
      <c r="Q690" s="469"/>
    </row>
    <row r="691" spans="1:17" ht="15.75">
      <c r="C691" s="416" t="s">
        <v>292</v>
      </c>
      <c r="D691" s="78"/>
      <c r="E691" s="4"/>
      <c r="F691" s="4"/>
      <c r="G691" s="4"/>
      <c r="H691" s="642"/>
      <c r="I691" s="4" t="s">
        <v>271</v>
      </c>
      <c r="J691" s="4"/>
      <c r="K691" s="4"/>
      <c r="L691" s="545">
        <f>+J697</f>
        <v>2025</v>
      </c>
      <c r="M691" s="529" t="s">
        <v>254</v>
      </c>
      <c r="N691" s="529" t="s">
        <v>255</v>
      </c>
      <c r="O691" s="530" t="s">
        <v>256</v>
      </c>
    </row>
    <row r="692" spans="1:17" ht="15.75">
      <c r="C692" s="416"/>
      <c r="D692" s="78"/>
      <c r="E692" s="4"/>
      <c r="F692" s="4"/>
      <c r="H692" s="4"/>
      <c r="I692" s="478"/>
      <c r="J692" s="478"/>
      <c r="K692" s="479"/>
      <c r="L692" s="546" t="s">
        <v>455</v>
      </c>
      <c r="M692" s="547">
        <f>VLOOKUP(J697,C704:P763,10)</f>
        <v>598250.1008183693</v>
      </c>
      <c r="N692" s="547">
        <f>VLOOKUP(J697,C704:P763,12)</f>
        <v>598250.1008183693</v>
      </c>
      <c r="O692" s="548">
        <f>+N692-M692</f>
        <v>0</v>
      </c>
      <c r="Q692" s="479"/>
    </row>
    <row r="693" spans="1:17">
      <c r="C693" s="481" t="s">
        <v>293</v>
      </c>
      <c r="D693" s="1304" t="s">
        <v>936</v>
      </c>
      <c r="E693" s="1304"/>
      <c r="F693" s="1304"/>
      <c r="G693" s="1304"/>
      <c r="H693" s="1304"/>
      <c r="I693" s="454"/>
      <c r="J693" s="454"/>
      <c r="K693" s="469"/>
      <c r="L693" s="546" t="s">
        <v>456</v>
      </c>
      <c r="M693" s="549">
        <f>VLOOKUP(J697,C704:P763,6)</f>
        <v>598124.56631276524</v>
      </c>
      <c r="N693" s="549">
        <f>VLOOKUP(J697,C704:P763,7)</f>
        <v>598124.56631276524</v>
      </c>
      <c r="O693" s="550">
        <f>+N693-M693</f>
        <v>0</v>
      </c>
      <c r="Q693" s="469"/>
    </row>
    <row r="694" spans="1:17" ht="13.5" thickBot="1">
      <c r="C694" s="483"/>
      <c r="D694" s="484"/>
      <c r="E694" s="471"/>
      <c r="F694" s="471"/>
      <c r="G694" s="471"/>
      <c r="H694" s="485"/>
      <c r="I694" s="454"/>
      <c r="J694" s="454"/>
      <c r="K694" s="469"/>
      <c r="L694" s="495" t="s">
        <v>457</v>
      </c>
      <c r="M694" s="551">
        <f>+M693-M692</f>
        <v>-125.53450560406782</v>
      </c>
      <c r="N694" s="551">
        <f>+N693-N692</f>
        <v>-125.53450560406782</v>
      </c>
      <c r="O694" s="552">
        <f>+O693-O692</f>
        <v>0</v>
      </c>
      <c r="Q694" s="469"/>
    </row>
    <row r="695" spans="1:17" ht="13.5" thickBot="1">
      <c r="C695" s="483"/>
      <c r="D695" s="4"/>
      <c r="E695" s="485"/>
      <c r="F695" s="485"/>
      <c r="G695" s="485"/>
      <c r="H695" s="485"/>
      <c r="I695" s="485"/>
      <c r="J695" s="485"/>
      <c r="K695" s="485"/>
      <c r="L695" s="485"/>
      <c r="M695" s="485"/>
      <c r="N695" s="485"/>
      <c r="O695" s="485"/>
      <c r="Q695" s="485"/>
    </row>
    <row r="696" spans="1:17" ht="13.5" thickBot="1">
      <c r="C696" s="487" t="s">
        <v>294</v>
      </c>
      <c r="D696" s="488"/>
      <c r="E696" s="488"/>
      <c r="F696" s="488"/>
      <c r="G696" s="488"/>
      <c r="H696" s="488"/>
      <c r="I696" s="488"/>
      <c r="J696" s="488"/>
      <c r="Q696"/>
    </row>
    <row r="697" spans="1:17" ht="15">
      <c r="A697" s="486"/>
      <c r="C697" s="490" t="s">
        <v>272</v>
      </c>
      <c r="D697" s="941">
        <v>5483985.8899999997</v>
      </c>
      <c r="E697" s="4" t="s">
        <v>273</v>
      </c>
      <c r="H697" s="78"/>
      <c r="I697" s="78"/>
      <c r="J697" s="491">
        <f>$J$95</f>
        <v>2025</v>
      </c>
      <c r="K697" s="134"/>
      <c r="L697" s="1305" t="s">
        <v>274</v>
      </c>
      <c r="M697" s="1305"/>
      <c r="N697" s="1305"/>
      <c r="O697" s="1305"/>
      <c r="Q697" s="134"/>
    </row>
    <row r="698" spans="1:17">
      <c r="A698" s="486"/>
      <c r="C698" s="490" t="s">
        <v>275</v>
      </c>
      <c r="D698" s="644">
        <v>2015</v>
      </c>
      <c r="E698" s="490" t="s">
        <v>276</v>
      </c>
      <c r="F698" s="78"/>
      <c r="G698" s="78"/>
      <c r="I698"/>
      <c r="J698" s="647">
        <v>0</v>
      </c>
      <c r="K698" s="492"/>
      <c r="L698" s="469" t="s">
        <v>475</v>
      </c>
      <c r="Q698" s="492"/>
    </row>
    <row r="699" spans="1:17">
      <c r="A699" s="486"/>
      <c r="C699" s="490" t="s">
        <v>277</v>
      </c>
      <c r="D699" s="942">
        <v>12</v>
      </c>
      <c r="E699" s="490" t="s">
        <v>278</v>
      </c>
      <c r="F699" s="78"/>
      <c r="G699" s="78"/>
      <c r="I699"/>
      <c r="J699" s="493">
        <f>$F$70</f>
        <v>0.11017952320434825</v>
      </c>
      <c r="K699" s="80"/>
      <c r="L699" s="4" t="str">
        <f>"          INPUT TRUE-UP ARR (WITH &amp; WITHOUT INCENTIVES) FROM EACH PRIOR YEAR"</f>
        <v xml:space="preserve">          INPUT TRUE-UP ARR (WITH &amp; WITHOUT INCENTIVES) FROM EACH PRIOR YEAR</v>
      </c>
      <c r="Q699" s="80"/>
    </row>
    <row r="700" spans="1:17">
      <c r="A700" s="486"/>
      <c r="C700" s="490" t="s">
        <v>279</v>
      </c>
      <c r="D700" s="494">
        <f>H79</f>
        <v>42</v>
      </c>
      <c r="E700" s="490" t="s">
        <v>280</v>
      </c>
      <c r="F700" s="78"/>
      <c r="G700" s="78"/>
      <c r="I700"/>
      <c r="J700" s="493">
        <f>IF(H691="",J699,$F$69)</f>
        <v>0.11017952320434825</v>
      </c>
      <c r="K700" s="80"/>
      <c r="L700" s="4" t="s">
        <v>362</v>
      </c>
      <c r="M700" s="80"/>
      <c r="N700" s="80"/>
      <c r="O700" s="80"/>
      <c r="Q700" s="80"/>
    </row>
    <row r="701" spans="1:17" ht="13.5" thickBot="1">
      <c r="A701" s="486"/>
      <c r="C701" s="490" t="s">
        <v>281</v>
      </c>
      <c r="D701" s="646" t="s">
        <v>929</v>
      </c>
      <c r="E701" s="495" t="s">
        <v>282</v>
      </c>
      <c r="F701" s="496"/>
      <c r="G701" s="496"/>
      <c r="H701" s="497"/>
      <c r="I701" s="497"/>
      <c r="J701" s="482">
        <f>IF(D697=0,0,D697/D700)</f>
        <v>130571.09261904762</v>
      </c>
      <c r="K701" s="469"/>
      <c r="L701" s="469" t="s">
        <v>363</v>
      </c>
      <c r="M701" s="469"/>
      <c r="N701" s="469"/>
      <c r="O701" s="469"/>
      <c r="Q701" s="469"/>
    </row>
    <row r="702" spans="1:17" ht="38.25">
      <c r="A702" s="12"/>
      <c r="B702" s="12"/>
      <c r="C702" s="498" t="s">
        <v>272</v>
      </c>
      <c r="D702" s="499" t="s">
        <v>283</v>
      </c>
      <c r="E702" s="500" t="s">
        <v>284</v>
      </c>
      <c r="F702" s="499" t="s">
        <v>285</v>
      </c>
      <c r="G702" s="499" t="s">
        <v>458</v>
      </c>
      <c r="H702" s="500" t="s">
        <v>356</v>
      </c>
      <c r="I702" s="501" t="s">
        <v>356</v>
      </c>
      <c r="J702" s="498" t="s">
        <v>295</v>
      </c>
      <c r="K702" s="502"/>
      <c r="L702" s="500" t="s">
        <v>358</v>
      </c>
      <c r="M702" s="500" t="s">
        <v>364</v>
      </c>
      <c r="N702" s="500" t="s">
        <v>358</v>
      </c>
      <c r="O702" s="500" t="s">
        <v>366</v>
      </c>
      <c r="P702" s="500" t="s">
        <v>286</v>
      </c>
      <c r="Q702" s="127"/>
    </row>
    <row r="703" spans="1:17" ht="13.5" thickBot="1">
      <c r="C703" s="503" t="s">
        <v>177</v>
      </c>
      <c r="D703" s="504" t="s">
        <v>178</v>
      </c>
      <c r="E703" s="503" t="s">
        <v>37</v>
      </c>
      <c r="F703" s="504" t="s">
        <v>178</v>
      </c>
      <c r="G703" s="504" t="s">
        <v>178</v>
      </c>
      <c r="H703" s="505" t="s">
        <v>298</v>
      </c>
      <c r="I703" s="506" t="s">
        <v>300</v>
      </c>
      <c r="J703" s="503" t="s">
        <v>389</v>
      </c>
      <c r="K703" s="507"/>
      <c r="L703" s="505" t="s">
        <v>287</v>
      </c>
      <c r="M703" s="505" t="s">
        <v>287</v>
      </c>
      <c r="N703" s="505" t="s">
        <v>467</v>
      </c>
      <c r="O703" s="505" t="s">
        <v>467</v>
      </c>
      <c r="P703" s="505" t="s">
        <v>467</v>
      </c>
      <c r="Q703" s="134"/>
    </row>
    <row r="704" spans="1:17">
      <c r="C704" s="508">
        <f>IF(D698= "","-",D698)</f>
        <v>2015</v>
      </c>
      <c r="D704" s="471">
        <f>+D697</f>
        <v>5483985.8899999997</v>
      </c>
      <c r="E704" s="509">
        <f>+J701/12*(12-D699)</f>
        <v>0</v>
      </c>
      <c r="F704" s="553">
        <f t="shared" ref="F704:F763" si="64">+D704-E704</f>
        <v>5483985.8899999997</v>
      </c>
      <c r="G704" s="471">
        <f t="shared" ref="G704:G763" si="65">+(D704+F704)/2</f>
        <v>5483985.8899999997</v>
      </c>
      <c r="H704" s="510">
        <f>+J699*G704+E704</f>
        <v>604222.95061957336</v>
      </c>
      <c r="I704" s="511">
        <f>+J700*G704+E704</f>
        <v>604222.95061957336</v>
      </c>
      <c r="J704" s="512">
        <f t="shared" ref="J704:J763" si="66">+I704-H704</f>
        <v>0</v>
      </c>
      <c r="K704" s="512"/>
      <c r="L704" s="513">
        <v>9.9999999999999995E-7</v>
      </c>
      <c r="M704" s="554">
        <f t="shared" ref="M704:M763" si="67">IF(L704&lt;&gt;0,+H704-L704,0)</f>
        <v>604222.95061857335</v>
      </c>
      <c r="N704" s="513">
        <v>9.9999999999999995E-7</v>
      </c>
      <c r="O704" s="554">
        <f t="shared" ref="O704:O763" si="68">IF(N704&lt;&gt;0,+I704-N704,0)</f>
        <v>604222.95061857335</v>
      </c>
      <c r="P704" s="554">
        <f t="shared" ref="P704:P763" si="69">+O704-M704</f>
        <v>0</v>
      </c>
      <c r="Q704" s="473"/>
    </row>
    <row r="705" spans="3:17">
      <c r="C705" s="508">
        <f>IF(D698="","-",+C704+1)</f>
        <v>2016</v>
      </c>
      <c r="D705" s="471">
        <f t="shared" ref="D705:D763" si="70">F704</f>
        <v>5483985.8899999997</v>
      </c>
      <c r="E705" s="515">
        <f>IF(D705&gt;$J$701,$J$701,D705)</f>
        <v>130571.09261904762</v>
      </c>
      <c r="F705" s="515">
        <f t="shared" si="64"/>
        <v>5353414.7973809522</v>
      </c>
      <c r="G705" s="471">
        <f t="shared" si="65"/>
        <v>5418700.3436904754</v>
      </c>
      <c r="H705" s="509">
        <f>+J699*G705+E705</f>
        <v>727600.91287410213</v>
      </c>
      <c r="I705" s="516">
        <f>+J700*G705+E705</f>
        <v>727600.91287410213</v>
      </c>
      <c r="J705" s="512">
        <f t="shared" si="66"/>
        <v>0</v>
      </c>
      <c r="K705" s="512"/>
      <c r="L705" s="983">
        <v>780577</v>
      </c>
      <c r="M705" s="512">
        <f t="shared" si="67"/>
        <v>-52976.087125897873</v>
      </c>
      <c r="N705" s="983">
        <v>780577</v>
      </c>
      <c r="O705" s="512">
        <f t="shared" si="68"/>
        <v>-52976.087125897873</v>
      </c>
      <c r="P705" s="512">
        <f t="shared" si="69"/>
        <v>0</v>
      </c>
      <c r="Q705" s="473"/>
    </row>
    <row r="706" spans="3:17">
      <c r="C706" s="508">
        <f>IF(D698="","-",+C705+1)</f>
        <v>2017</v>
      </c>
      <c r="D706" s="955">
        <f t="shared" si="70"/>
        <v>5353414.7973809522</v>
      </c>
      <c r="E706" s="515">
        <f t="shared" ref="E706:E763" si="71">IF(D706&gt;$J$701,$J$701,D706)</f>
        <v>130571.09261904762</v>
      </c>
      <c r="F706" s="515">
        <f t="shared" si="64"/>
        <v>5222843.7047619047</v>
      </c>
      <c r="G706" s="471">
        <f t="shared" si="65"/>
        <v>5288129.2510714289</v>
      </c>
      <c r="H706" s="509">
        <f>+J699*G706+E706</f>
        <v>713214.65214506479</v>
      </c>
      <c r="I706" s="516">
        <f>+J700*G706+E706</f>
        <v>713214.65214506479</v>
      </c>
      <c r="J706" s="512">
        <f t="shared" si="66"/>
        <v>0</v>
      </c>
      <c r="K706" s="512"/>
      <c r="L706" s="517">
        <v>779062</v>
      </c>
      <c r="M706" s="512">
        <f t="shared" si="67"/>
        <v>-65847.347854935215</v>
      </c>
      <c r="N706" s="517">
        <v>779062</v>
      </c>
      <c r="O706" s="512">
        <f t="shared" si="68"/>
        <v>-65847.347854935215</v>
      </c>
      <c r="P706" s="512">
        <f t="shared" si="69"/>
        <v>0</v>
      </c>
      <c r="Q706" s="473"/>
    </row>
    <row r="707" spans="3:17">
      <c r="C707" s="508">
        <f>IF(D698="","-",+C706+1)</f>
        <v>2018</v>
      </c>
      <c r="D707" s="471">
        <f t="shared" si="70"/>
        <v>5222843.7047619047</v>
      </c>
      <c r="E707" s="515">
        <f t="shared" si="71"/>
        <v>130571.09261904762</v>
      </c>
      <c r="F707" s="515">
        <f t="shared" si="64"/>
        <v>5092272.6121428572</v>
      </c>
      <c r="G707" s="471">
        <f t="shared" si="65"/>
        <v>5157558.1584523804</v>
      </c>
      <c r="H707" s="509">
        <f>+J699*G707+E707</f>
        <v>698828.39141602733</v>
      </c>
      <c r="I707" s="516">
        <f>+J700*G707+E707</f>
        <v>698828.39141602733</v>
      </c>
      <c r="J707" s="512">
        <f t="shared" si="66"/>
        <v>0</v>
      </c>
      <c r="K707" s="512"/>
      <c r="L707" s="517">
        <v>672821</v>
      </c>
      <c r="M707" s="512">
        <f t="shared" si="67"/>
        <v>26007.391416027327</v>
      </c>
      <c r="N707" s="517">
        <v>672821</v>
      </c>
      <c r="O707" s="512">
        <f t="shared" si="68"/>
        <v>26007.391416027327</v>
      </c>
      <c r="P707" s="512">
        <f t="shared" si="69"/>
        <v>0</v>
      </c>
      <c r="Q707" s="473"/>
    </row>
    <row r="708" spans="3:17">
      <c r="C708" s="508">
        <f>IF(D698="","-",+C707+1)</f>
        <v>2019</v>
      </c>
      <c r="D708" s="955">
        <f t="shared" si="70"/>
        <v>5092272.6121428572</v>
      </c>
      <c r="E708" s="515">
        <f t="shared" si="71"/>
        <v>130571.09261904762</v>
      </c>
      <c r="F708" s="515">
        <f t="shared" si="64"/>
        <v>4961701.5195238097</v>
      </c>
      <c r="G708" s="471">
        <f t="shared" si="65"/>
        <v>5026987.0658333339</v>
      </c>
      <c r="H708" s="509">
        <f>+J699*G708+E708</f>
        <v>684442.13068698999</v>
      </c>
      <c r="I708" s="516">
        <f>+J700*G708+E708</f>
        <v>684442.13068698999</v>
      </c>
      <c r="J708" s="512">
        <f t="shared" si="66"/>
        <v>0</v>
      </c>
      <c r="K708" s="512"/>
      <c r="L708" s="517">
        <v>658757</v>
      </c>
      <c r="M708" s="512">
        <f t="shared" si="67"/>
        <v>25685.130686989985</v>
      </c>
      <c r="N708" s="517">
        <v>658757</v>
      </c>
      <c r="O708" s="512">
        <f t="shared" si="68"/>
        <v>25685.130686989985</v>
      </c>
      <c r="P708" s="512">
        <f t="shared" si="69"/>
        <v>0</v>
      </c>
      <c r="Q708" s="473"/>
    </row>
    <row r="709" spans="3:17">
      <c r="C709" s="508">
        <f>IF(D698="","-",+C708+1)</f>
        <v>2020</v>
      </c>
      <c r="D709" s="471">
        <f t="shared" si="70"/>
        <v>4961701.5195238097</v>
      </c>
      <c r="E709" s="515">
        <f t="shared" si="71"/>
        <v>130571.09261904762</v>
      </c>
      <c r="F709" s="515">
        <f t="shared" si="64"/>
        <v>4831130.4269047622</v>
      </c>
      <c r="G709" s="471">
        <f t="shared" si="65"/>
        <v>4896415.9732142854</v>
      </c>
      <c r="H709" s="509">
        <f>+J699*G709+E709</f>
        <v>670055.86995795241</v>
      </c>
      <c r="I709" s="516">
        <f>+J700*G709+E709</f>
        <v>670055.86995795241</v>
      </c>
      <c r="J709" s="512">
        <f t="shared" si="66"/>
        <v>0</v>
      </c>
      <c r="K709" s="512"/>
      <c r="L709" s="517">
        <v>626724.43171071797</v>
      </c>
      <c r="M709" s="512">
        <f t="shared" si="67"/>
        <v>43331.438247234444</v>
      </c>
      <c r="N709" s="517">
        <v>626724.43171071797</v>
      </c>
      <c r="O709" s="512">
        <f t="shared" si="68"/>
        <v>43331.438247234444</v>
      </c>
      <c r="P709" s="512">
        <f t="shared" si="69"/>
        <v>0</v>
      </c>
      <c r="Q709" s="473"/>
    </row>
    <row r="710" spans="3:17">
      <c r="C710" s="508">
        <f>IF(D698="","-",+C709+1)</f>
        <v>2021</v>
      </c>
      <c r="D710" s="471">
        <f t="shared" si="70"/>
        <v>4831130.4269047622</v>
      </c>
      <c r="E710" s="515">
        <f t="shared" si="71"/>
        <v>130571.09261904762</v>
      </c>
      <c r="F710" s="515">
        <f t="shared" si="64"/>
        <v>4700559.3342857147</v>
      </c>
      <c r="G710" s="471">
        <f t="shared" si="65"/>
        <v>4765844.8805952389</v>
      </c>
      <c r="H710" s="509">
        <f>+J699*G710+E710</f>
        <v>655669.60922891507</v>
      </c>
      <c r="I710" s="516">
        <f>+J700*G710+E710</f>
        <v>655669.60922891507</v>
      </c>
      <c r="J710" s="512">
        <f t="shared" si="66"/>
        <v>0</v>
      </c>
      <c r="K710" s="512"/>
      <c r="L710" s="517">
        <v>618333.12395489472</v>
      </c>
      <c r="M710" s="512">
        <f t="shared" si="67"/>
        <v>37336.48527402035</v>
      </c>
      <c r="N710" s="517">
        <v>618333.12395489472</v>
      </c>
      <c r="O710" s="512">
        <f t="shared" si="68"/>
        <v>37336.48527402035</v>
      </c>
      <c r="P710" s="512">
        <f t="shared" si="69"/>
        <v>0</v>
      </c>
      <c r="Q710" s="473"/>
    </row>
    <row r="711" spans="3:17">
      <c r="C711" s="508">
        <f>IF(D698="","-",+C710+1)</f>
        <v>2022</v>
      </c>
      <c r="D711" s="471">
        <f t="shared" si="70"/>
        <v>4700559.3342857147</v>
      </c>
      <c r="E711" s="515">
        <f t="shared" si="71"/>
        <v>130571.09261904762</v>
      </c>
      <c r="F711" s="515">
        <f t="shared" si="64"/>
        <v>4569988.2416666672</v>
      </c>
      <c r="G711" s="471">
        <f t="shared" si="65"/>
        <v>4635273.7879761904</v>
      </c>
      <c r="H711" s="509">
        <f>+J699*G711+E711</f>
        <v>641283.34849987749</v>
      </c>
      <c r="I711" s="516">
        <f>+J700*G711+E711</f>
        <v>641283.34849987749</v>
      </c>
      <c r="J711" s="512">
        <f t="shared" si="66"/>
        <v>0</v>
      </c>
      <c r="K711" s="512"/>
      <c r="L711" s="517">
        <v>610745.696873629</v>
      </c>
      <c r="M711" s="512">
        <f t="shared" si="67"/>
        <v>30537.651626248495</v>
      </c>
      <c r="N711" s="517">
        <v>610745.696873629</v>
      </c>
      <c r="O711" s="512">
        <f t="shared" si="68"/>
        <v>30537.651626248495</v>
      </c>
      <c r="P711" s="512">
        <f t="shared" si="69"/>
        <v>0</v>
      </c>
      <c r="Q711" s="473"/>
    </row>
    <row r="712" spans="3:17">
      <c r="C712" s="508">
        <f>IF(D698="","-",+C711+1)</f>
        <v>2023</v>
      </c>
      <c r="D712" s="471">
        <f t="shared" si="70"/>
        <v>4569988.2416666672</v>
      </c>
      <c r="E712" s="515">
        <f t="shared" si="71"/>
        <v>130571.09261904762</v>
      </c>
      <c r="F712" s="515">
        <f t="shared" si="64"/>
        <v>4439417.1490476197</v>
      </c>
      <c r="G712" s="471">
        <f t="shared" si="65"/>
        <v>4504702.6953571439</v>
      </c>
      <c r="H712" s="509">
        <f>+J699*G712+E712</f>
        <v>626897.08777084015</v>
      </c>
      <c r="I712" s="516">
        <f>+J700*G712+E712</f>
        <v>626897.08777084015</v>
      </c>
      <c r="J712" s="512">
        <f t="shared" si="66"/>
        <v>0</v>
      </c>
      <c r="K712" s="512"/>
      <c r="L712" s="517">
        <v>630586.57976023632</v>
      </c>
      <c r="M712" s="512">
        <f t="shared" si="67"/>
        <v>-3689.4919893961633</v>
      </c>
      <c r="N712" s="517">
        <v>630586.57976023632</v>
      </c>
      <c r="O712" s="512">
        <f t="shared" si="68"/>
        <v>-3689.4919893961633</v>
      </c>
      <c r="P712" s="512">
        <f t="shared" si="69"/>
        <v>0</v>
      </c>
      <c r="Q712" s="473"/>
    </row>
    <row r="713" spans="3:17">
      <c r="C713" s="508">
        <f>IF(D698="","-",+C712+1)</f>
        <v>2024</v>
      </c>
      <c r="D713" s="471">
        <f t="shared" si="70"/>
        <v>4439417.1490476197</v>
      </c>
      <c r="E713" s="515">
        <f t="shared" si="71"/>
        <v>130571.09261904762</v>
      </c>
      <c r="F713" s="515">
        <f t="shared" si="64"/>
        <v>4308846.0564285722</v>
      </c>
      <c r="G713" s="471">
        <f t="shared" si="65"/>
        <v>4374131.6027380954</v>
      </c>
      <c r="H713" s="509">
        <f>+J699*G713+E713</f>
        <v>612510.82704180258</v>
      </c>
      <c r="I713" s="516">
        <f>+J700*G713+E713</f>
        <v>612510.82704180258</v>
      </c>
      <c r="J713" s="512">
        <f t="shared" si="66"/>
        <v>0</v>
      </c>
      <c r="K713" s="512"/>
      <c r="L713" s="517">
        <v>610613.29408461938</v>
      </c>
      <c r="M713" s="512">
        <f t="shared" si="67"/>
        <v>1897.5329571831971</v>
      </c>
      <c r="N713" s="517">
        <v>610613.29408461938</v>
      </c>
      <c r="O713" s="512">
        <f t="shared" si="68"/>
        <v>1897.5329571831971</v>
      </c>
      <c r="P713" s="512">
        <f t="shared" si="69"/>
        <v>0</v>
      </c>
      <c r="Q713" s="473"/>
    </row>
    <row r="714" spans="3:17">
      <c r="C714" s="508">
        <f>IF(D698="","-",+C713+1)</f>
        <v>2025</v>
      </c>
      <c r="D714" s="471">
        <f t="shared" si="70"/>
        <v>4308846.0564285722</v>
      </c>
      <c r="E714" s="515">
        <f t="shared" si="71"/>
        <v>130571.09261904762</v>
      </c>
      <c r="F714" s="515">
        <f t="shared" si="64"/>
        <v>4178274.9638095247</v>
      </c>
      <c r="G714" s="471">
        <f t="shared" si="65"/>
        <v>4243560.5101190489</v>
      </c>
      <c r="H714" s="509">
        <f>+J699*G714+E714</f>
        <v>598124.56631276524</v>
      </c>
      <c r="I714" s="516">
        <f>+J700*G714+E714</f>
        <v>598124.56631276524</v>
      </c>
      <c r="J714" s="512">
        <f t="shared" si="66"/>
        <v>0</v>
      </c>
      <c r="K714" s="512"/>
      <c r="L714" s="517">
        <v>598250.1008183693</v>
      </c>
      <c r="M714" s="512">
        <f t="shared" si="67"/>
        <v>-125.53450560406782</v>
      </c>
      <c r="N714" s="517">
        <v>598250.1008183693</v>
      </c>
      <c r="O714" s="512">
        <f t="shared" si="68"/>
        <v>-125.53450560406782</v>
      </c>
      <c r="P714" s="512">
        <f t="shared" si="69"/>
        <v>0</v>
      </c>
      <c r="Q714" s="473"/>
    </row>
    <row r="715" spans="3:17">
      <c r="C715" s="508">
        <f>IF(D698="","-",+C714+1)</f>
        <v>2026</v>
      </c>
      <c r="D715" s="471">
        <f t="shared" si="70"/>
        <v>4178274.9638095247</v>
      </c>
      <c r="E715" s="515">
        <f t="shared" si="71"/>
        <v>130571.09261904762</v>
      </c>
      <c r="F715" s="515">
        <f t="shared" si="64"/>
        <v>4047703.8711904772</v>
      </c>
      <c r="G715" s="471">
        <f t="shared" si="65"/>
        <v>4112989.4175000009</v>
      </c>
      <c r="H715" s="509">
        <f>+J699*G715+E715</f>
        <v>583738.30558372778</v>
      </c>
      <c r="I715" s="516">
        <f>+J700*G715+E715</f>
        <v>583738.30558372778</v>
      </c>
      <c r="J715" s="512">
        <f t="shared" si="66"/>
        <v>0</v>
      </c>
      <c r="K715" s="512"/>
      <c r="L715" s="517"/>
      <c r="M715" s="512">
        <f t="shared" si="67"/>
        <v>0</v>
      </c>
      <c r="N715" s="517"/>
      <c r="O715" s="512">
        <f t="shared" si="68"/>
        <v>0</v>
      </c>
      <c r="P715" s="512">
        <f t="shared" si="69"/>
        <v>0</v>
      </c>
      <c r="Q715" s="473"/>
    </row>
    <row r="716" spans="3:17">
      <c r="C716" s="508">
        <f>IF(D698="","-",+C715+1)</f>
        <v>2027</v>
      </c>
      <c r="D716" s="471">
        <f t="shared" si="70"/>
        <v>4047703.8711904772</v>
      </c>
      <c r="E716" s="515">
        <f t="shared" si="71"/>
        <v>130571.09261904762</v>
      </c>
      <c r="F716" s="515">
        <f t="shared" si="64"/>
        <v>3917132.7785714297</v>
      </c>
      <c r="G716" s="471">
        <f t="shared" si="65"/>
        <v>3982418.3248809534</v>
      </c>
      <c r="H716" s="509">
        <f>+J699*G716+E716</f>
        <v>569352.04485469032</v>
      </c>
      <c r="I716" s="516">
        <f>+J700*G716+E716</f>
        <v>569352.04485469032</v>
      </c>
      <c r="J716" s="512">
        <f t="shared" si="66"/>
        <v>0</v>
      </c>
      <c r="K716" s="512"/>
      <c r="L716" s="517"/>
      <c r="M716" s="512">
        <f t="shared" si="67"/>
        <v>0</v>
      </c>
      <c r="N716" s="517"/>
      <c r="O716" s="512">
        <f t="shared" si="68"/>
        <v>0</v>
      </c>
      <c r="P716" s="512">
        <f t="shared" si="69"/>
        <v>0</v>
      </c>
      <c r="Q716" s="473"/>
    </row>
    <row r="717" spans="3:17">
      <c r="C717" s="508">
        <f>IF(D698="","-",+C716+1)</f>
        <v>2028</v>
      </c>
      <c r="D717" s="471">
        <f t="shared" si="70"/>
        <v>3917132.7785714297</v>
      </c>
      <c r="E717" s="515">
        <f t="shared" si="71"/>
        <v>130571.09261904762</v>
      </c>
      <c r="F717" s="515">
        <f t="shared" si="64"/>
        <v>3786561.6859523822</v>
      </c>
      <c r="G717" s="471">
        <f t="shared" si="65"/>
        <v>3851847.2322619059</v>
      </c>
      <c r="H717" s="509">
        <f>+J699*G717+E717</f>
        <v>554965.78412565286</v>
      </c>
      <c r="I717" s="516">
        <f>+J700*G717+E717</f>
        <v>554965.78412565286</v>
      </c>
      <c r="J717" s="512">
        <f t="shared" si="66"/>
        <v>0</v>
      </c>
      <c r="K717" s="512"/>
      <c r="L717" s="517"/>
      <c r="M717" s="512">
        <f t="shared" si="67"/>
        <v>0</v>
      </c>
      <c r="N717" s="517"/>
      <c r="O717" s="512">
        <f t="shared" si="68"/>
        <v>0</v>
      </c>
      <c r="P717" s="512">
        <f t="shared" si="69"/>
        <v>0</v>
      </c>
      <c r="Q717" s="473"/>
    </row>
    <row r="718" spans="3:17">
      <c r="C718" s="508">
        <f>IF(D698="","-",+C717+1)</f>
        <v>2029</v>
      </c>
      <c r="D718" s="471">
        <f t="shared" si="70"/>
        <v>3786561.6859523822</v>
      </c>
      <c r="E718" s="515">
        <f t="shared" si="71"/>
        <v>130571.09261904762</v>
      </c>
      <c r="F718" s="515">
        <f t="shared" si="64"/>
        <v>3655990.5933333347</v>
      </c>
      <c r="G718" s="471">
        <f t="shared" si="65"/>
        <v>3721276.1396428584</v>
      </c>
      <c r="H718" s="509">
        <f>+J699*G718+E718</f>
        <v>540579.5233966154</v>
      </c>
      <c r="I718" s="516">
        <f>+J700*G718+E718</f>
        <v>540579.5233966154</v>
      </c>
      <c r="J718" s="512">
        <f t="shared" si="66"/>
        <v>0</v>
      </c>
      <c r="K718" s="512"/>
      <c r="L718" s="517"/>
      <c r="M718" s="512">
        <f t="shared" si="67"/>
        <v>0</v>
      </c>
      <c r="N718" s="517"/>
      <c r="O718" s="512">
        <f t="shared" si="68"/>
        <v>0</v>
      </c>
      <c r="P718" s="512">
        <f t="shared" si="69"/>
        <v>0</v>
      </c>
      <c r="Q718" s="473"/>
    </row>
    <row r="719" spans="3:17">
      <c r="C719" s="508">
        <f>IF(D698="","-",+C718+1)</f>
        <v>2030</v>
      </c>
      <c r="D719" s="471">
        <f t="shared" si="70"/>
        <v>3655990.5933333347</v>
      </c>
      <c r="E719" s="515">
        <f t="shared" si="71"/>
        <v>130571.09261904762</v>
      </c>
      <c r="F719" s="515">
        <f t="shared" si="64"/>
        <v>3525419.5007142872</v>
      </c>
      <c r="G719" s="471">
        <f t="shared" si="65"/>
        <v>3590705.0470238109</v>
      </c>
      <c r="H719" s="509">
        <f>+J699*G719+E719</f>
        <v>526193.26266757795</v>
      </c>
      <c r="I719" s="516">
        <f>+J700*G719+E719</f>
        <v>526193.26266757795</v>
      </c>
      <c r="J719" s="512">
        <f t="shared" si="66"/>
        <v>0</v>
      </c>
      <c r="K719" s="512"/>
      <c r="L719" s="517"/>
      <c r="M719" s="512">
        <f t="shared" si="67"/>
        <v>0</v>
      </c>
      <c r="N719" s="517"/>
      <c r="O719" s="512">
        <f t="shared" si="68"/>
        <v>0</v>
      </c>
      <c r="P719" s="512">
        <f t="shared" si="69"/>
        <v>0</v>
      </c>
      <c r="Q719" s="473"/>
    </row>
    <row r="720" spans="3:17">
      <c r="C720" s="508">
        <f>IF(D698="","-",+C719+1)</f>
        <v>2031</v>
      </c>
      <c r="D720" s="471">
        <f t="shared" si="70"/>
        <v>3525419.5007142872</v>
      </c>
      <c r="E720" s="515">
        <f t="shared" si="71"/>
        <v>130571.09261904762</v>
      </c>
      <c r="F720" s="515">
        <f t="shared" si="64"/>
        <v>3394848.4080952397</v>
      </c>
      <c r="G720" s="471">
        <f t="shared" si="65"/>
        <v>3460133.9544047634</v>
      </c>
      <c r="H720" s="509">
        <f>+J699*G720+E720</f>
        <v>511807.00193854049</v>
      </c>
      <c r="I720" s="516">
        <f>+J700*G720+E720</f>
        <v>511807.00193854049</v>
      </c>
      <c r="J720" s="512">
        <f t="shared" si="66"/>
        <v>0</v>
      </c>
      <c r="K720" s="512"/>
      <c r="L720" s="517"/>
      <c r="M720" s="512">
        <f t="shared" si="67"/>
        <v>0</v>
      </c>
      <c r="N720" s="517"/>
      <c r="O720" s="512">
        <f t="shared" si="68"/>
        <v>0</v>
      </c>
      <c r="P720" s="512">
        <f t="shared" si="69"/>
        <v>0</v>
      </c>
      <c r="Q720" s="473"/>
    </row>
    <row r="721" spans="3:17">
      <c r="C721" s="508">
        <f>IF(D698="","-",+C720+1)</f>
        <v>2032</v>
      </c>
      <c r="D721" s="471">
        <f t="shared" si="70"/>
        <v>3394848.4080952397</v>
      </c>
      <c r="E721" s="515">
        <f t="shared" si="71"/>
        <v>130571.09261904762</v>
      </c>
      <c r="F721" s="515">
        <f t="shared" si="64"/>
        <v>3264277.3154761922</v>
      </c>
      <c r="G721" s="471">
        <f t="shared" si="65"/>
        <v>3329562.8617857159</v>
      </c>
      <c r="H721" s="509">
        <f>+J699*G721+E721</f>
        <v>497420.74120950309</v>
      </c>
      <c r="I721" s="516">
        <f>+J700*G721+E721</f>
        <v>497420.74120950309</v>
      </c>
      <c r="J721" s="512">
        <f t="shared" si="66"/>
        <v>0</v>
      </c>
      <c r="K721" s="512"/>
      <c r="L721" s="517"/>
      <c r="M721" s="512">
        <f t="shared" si="67"/>
        <v>0</v>
      </c>
      <c r="N721" s="517"/>
      <c r="O721" s="512">
        <f t="shared" si="68"/>
        <v>0</v>
      </c>
      <c r="P721" s="512">
        <f t="shared" si="69"/>
        <v>0</v>
      </c>
      <c r="Q721" s="473"/>
    </row>
    <row r="722" spans="3:17">
      <c r="C722" s="508">
        <f>IF(D698="","-",+C721+1)</f>
        <v>2033</v>
      </c>
      <c r="D722" s="471">
        <f t="shared" si="70"/>
        <v>3264277.3154761922</v>
      </c>
      <c r="E722" s="515">
        <f t="shared" si="71"/>
        <v>130571.09261904762</v>
      </c>
      <c r="F722" s="515">
        <f t="shared" si="64"/>
        <v>3133706.2228571447</v>
      </c>
      <c r="G722" s="471">
        <f t="shared" si="65"/>
        <v>3198991.7691666684</v>
      </c>
      <c r="H722" s="509">
        <f>+J699*G722+E722</f>
        <v>483034.48048046563</v>
      </c>
      <c r="I722" s="516">
        <f>+J700*G722+E722</f>
        <v>483034.48048046563</v>
      </c>
      <c r="J722" s="512">
        <f t="shared" si="66"/>
        <v>0</v>
      </c>
      <c r="K722" s="512"/>
      <c r="L722" s="517"/>
      <c r="M722" s="512">
        <f t="shared" si="67"/>
        <v>0</v>
      </c>
      <c r="N722" s="517"/>
      <c r="O722" s="512">
        <f t="shared" si="68"/>
        <v>0</v>
      </c>
      <c r="P722" s="512">
        <f t="shared" si="69"/>
        <v>0</v>
      </c>
      <c r="Q722" s="473"/>
    </row>
    <row r="723" spans="3:17">
      <c r="C723" s="508">
        <f>IF(D698="","-",+C722+1)</f>
        <v>2034</v>
      </c>
      <c r="D723" s="471">
        <f t="shared" si="70"/>
        <v>3133706.2228571447</v>
      </c>
      <c r="E723" s="515">
        <f t="shared" si="71"/>
        <v>130571.09261904762</v>
      </c>
      <c r="F723" s="515">
        <f t="shared" si="64"/>
        <v>3003135.1302380972</v>
      </c>
      <c r="G723" s="471">
        <f t="shared" si="65"/>
        <v>3068420.6765476209</v>
      </c>
      <c r="H723" s="509">
        <f>+J699*G723+E723</f>
        <v>468648.21975142817</v>
      </c>
      <c r="I723" s="516">
        <f>+J700*G723+E723</f>
        <v>468648.21975142817</v>
      </c>
      <c r="J723" s="512">
        <f t="shared" si="66"/>
        <v>0</v>
      </c>
      <c r="K723" s="512"/>
      <c r="L723" s="517"/>
      <c r="M723" s="512">
        <f t="shared" si="67"/>
        <v>0</v>
      </c>
      <c r="N723" s="517"/>
      <c r="O723" s="512">
        <f t="shared" si="68"/>
        <v>0</v>
      </c>
      <c r="P723" s="512">
        <f t="shared" si="69"/>
        <v>0</v>
      </c>
      <c r="Q723" s="473"/>
    </row>
    <row r="724" spans="3:17">
      <c r="C724" s="508">
        <f>IF(D698="","-",+C723+1)</f>
        <v>2035</v>
      </c>
      <c r="D724" s="471">
        <f t="shared" si="70"/>
        <v>3003135.1302380972</v>
      </c>
      <c r="E724" s="515">
        <f t="shared" si="71"/>
        <v>130571.09261904762</v>
      </c>
      <c r="F724" s="515">
        <f t="shared" si="64"/>
        <v>2872564.0376190497</v>
      </c>
      <c r="G724" s="471">
        <f t="shared" si="65"/>
        <v>2937849.5839285734</v>
      </c>
      <c r="H724" s="509">
        <f>+J699*G724+E724</f>
        <v>454261.95902239071</v>
      </c>
      <c r="I724" s="516">
        <f>+J700*G724+E724</f>
        <v>454261.95902239071</v>
      </c>
      <c r="J724" s="512">
        <f t="shared" si="66"/>
        <v>0</v>
      </c>
      <c r="K724" s="512"/>
      <c r="L724" s="517"/>
      <c r="M724" s="512">
        <f t="shared" si="67"/>
        <v>0</v>
      </c>
      <c r="N724" s="517"/>
      <c r="O724" s="512">
        <f t="shared" si="68"/>
        <v>0</v>
      </c>
      <c r="P724" s="512">
        <f t="shared" si="69"/>
        <v>0</v>
      </c>
      <c r="Q724" s="473"/>
    </row>
    <row r="725" spans="3:17">
      <c r="C725" s="508">
        <f>IF(D698="","-",+C724+1)</f>
        <v>2036</v>
      </c>
      <c r="D725" s="471">
        <f t="shared" si="70"/>
        <v>2872564.0376190497</v>
      </c>
      <c r="E725" s="515">
        <f t="shared" si="71"/>
        <v>130571.09261904762</v>
      </c>
      <c r="F725" s="515">
        <f t="shared" si="64"/>
        <v>2741992.9450000022</v>
      </c>
      <c r="G725" s="471">
        <f t="shared" si="65"/>
        <v>2807278.4913095259</v>
      </c>
      <c r="H725" s="509">
        <f>+J699*G725+E725</f>
        <v>439875.69829335326</v>
      </c>
      <c r="I725" s="516">
        <f>+J700*G725+E725</f>
        <v>439875.69829335326</v>
      </c>
      <c r="J725" s="512">
        <f t="shared" si="66"/>
        <v>0</v>
      </c>
      <c r="K725" s="512"/>
      <c r="L725" s="517"/>
      <c r="M725" s="512">
        <f t="shared" si="67"/>
        <v>0</v>
      </c>
      <c r="N725" s="517"/>
      <c r="O725" s="512">
        <f t="shared" si="68"/>
        <v>0</v>
      </c>
      <c r="P725" s="512">
        <f t="shared" si="69"/>
        <v>0</v>
      </c>
      <c r="Q725" s="473"/>
    </row>
    <row r="726" spans="3:17">
      <c r="C726" s="508">
        <f>IF(D698="","-",+C725+1)</f>
        <v>2037</v>
      </c>
      <c r="D726" s="471">
        <f t="shared" si="70"/>
        <v>2741992.9450000022</v>
      </c>
      <c r="E726" s="515">
        <f t="shared" si="71"/>
        <v>130571.09261904762</v>
      </c>
      <c r="F726" s="515">
        <f t="shared" si="64"/>
        <v>2611421.8523809547</v>
      </c>
      <c r="G726" s="471">
        <f t="shared" si="65"/>
        <v>2676707.3986904784</v>
      </c>
      <c r="H726" s="509">
        <f>+J699*G726+E726</f>
        <v>425489.4375643158</v>
      </c>
      <c r="I726" s="516">
        <f>+J700*G726+E726</f>
        <v>425489.4375643158</v>
      </c>
      <c r="J726" s="512">
        <f t="shared" si="66"/>
        <v>0</v>
      </c>
      <c r="K726" s="512"/>
      <c r="L726" s="517"/>
      <c r="M726" s="512">
        <f t="shared" si="67"/>
        <v>0</v>
      </c>
      <c r="N726" s="517"/>
      <c r="O726" s="512">
        <f t="shared" si="68"/>
        <v>0</v>
      </c>
      <c r="P726" s="512">
        <f t="shared" si="69"/>
        <v>0</v>
      </c>
      <c r="Q726" s="473"/>
    </row>
    <row r="727" spans="3:17">
      <c r="C727" s="508">
        <f>IF(D698="","-",+C726+1)</f>
        <v>2038</v>
      </c>
      <c r="D727" s="471">
        <f t="shared" si="70"/>
        <v>2611421.8523809547</v>
      </c>
      <c r="E727" s="515">
        <f t="shared" si="71"/>
        <v>130571.09261904762</v>
      </c>
      <c r="F727" s="515">
        <f t="shared" si="64"/>
        <v>2480850.7597619072</v>
      </c>
      <c r="G727" s="471">
        <f t="shared" si="65"/>
        <v>2546136.3060714309</v>
      </c>
      <c r="H727" s="509">
        <f>+J699*G727+E727</f>
        <v>411103.1768352784</v>
      </c>
      <c r="I727" s="516">
        <f>+J700*G727+E727</f>
        <v>411103.1768352784</v>
      </c>
      <c r="J727" s="512">
        <f t="shared" si="66"/>
        <v>0</v>
      </c>
      <c r="K727" s="512"/>
      <c r="L727" s="517"/>
      <c r="M727" s="512">
        <f t="shared" si="67"/>
        <v>0</v>
      </c>
      <c r="N727" s="517"/>
      <c r="O727" s="512">
        <f t="shared" si="68"/>
        <v>0</v>
      </c>
      <c r="P727" s="512">
        <f t="shared" si="69"/>
        <v>0</v>
      </c>
      <c r="Q727" s="473"/>
    </row>
    <row r="728" spans="3:17">
      <c r="C728" s="508">
        <f>IF(D698="","-",+C727+1)</f>
        <v>2039</v>
      </c>
      <c r="D728" s="471">
        <f t="shared" si="70"/>
        <v>2480850.7597619072</v>
      </c>
      <c r="E728" s="515">
        <f t="shared" si="71"/>
        <v>130571.09261904762</v>
      </c>
      <c r="F728" s="515">
        <f t="shared" si="64"/>
        <v>2350279.6671428597</v>
      </c>
      <c r="G728" s="471">
        <f t="shared" si="65"/>
        <v>2415565.2134523834</v>
      </c>
      <c r="H728" s="509">
        <f>+J699*G728+E728</f>
        <v>396716.91610624094</v>
      </c>
      <c r="I728" s="516">
        <f>+J700*G728+E728</f>
        <v>396716.91610624094</v>
      </c>
      <c r="J728" s="512">
        <f t="shared" si="66"/>
        <v>0</v>
      </c>
      <c r="K728" s="512"/>
      <c r="L728" s="517"/>
      <c r="M728" s="512">
        <f t="shared" si="67"/>
        <v>0</v>
      </c>
      <c r="N728" s="517"/>
      <c r="O728" s="512">
        <f t="shared" si="68"/>
        <v>0</v>
      </c>
      <c r="P728" s="512">
        <f t="shared" si="69"/>
        <v>0</v>
      </c>
      <c r="Q728" s="473"/>
    </row>
    <row r="729" spans="3:17">
      <c r="C729" s="508">
        <f>IF(D698="","-",+C728+1)</f>
        <v>2040</v>
      </c>
      <c r="D729" s="471">
        <f t="shared" si="70"/>
        <v>2350279.6671428597</v>
      </c>
      <c r="E729" s="515">
        <f t="shared" si="71"/>
        <v>130571.09261904762</v>
      </c>
      <c r="F729" s="515">
        <f t="shared" si="64"/>
        <v>2219708.5745238122</v>
      </c>
      <c r="G729" s="471">
        <f t="shared" si="65"/>
        <v>2284994.1208333359</v>
      </c>
      <c r="H729" s="509">
        <f>+J699*G729+E729</f>
        <v>382330.65537720348</v>
      </c>
      <c r="I729" s="516">
        <f>+J700*G729+E729</f>
        <v>382330.65537720348</v>
      </c>
      <c r="J729" s="512">
        <f t="shared" si="66"/>
        <v>0</v>
      </c>
      <c r="K729" s="512"/>
      <c r="L729" s="517"/>
      <c r="M729" s="512">
        <f t="shared" si="67"/>
        <v>0</v>
      </c>
      <c r="N729" s="517"/>
      <c r="O729" s="512">
        <f t="shared" si="68"/>
        <v>0</v>
      </c>
      <c r="P729" s="512">
        <f t="shared" si="69"/>
        <v>0</v>
      </c>
      <c r="Q729" s="473"/>
    </row>
    <row r="730" spans="3:17">
      <c r="C730" s="508">
        <f>IF(D698="","-",+C729+1)</f>
        <v>2041</v>
      </c>
      <c r="D730" s="471">
        <f t="shared" si="70"/>
        <v>2219708.5745238122</v>
      </c>
      <c r="E730" s="515">
        <f t="shared" si="71"/>
        <v>130571.09261904762</v>
      </c>
      <c r="F730" s="515">
        <f t="shared" si="64"/>
        <v>2089137.4819047647</v>
      </c>
      <c r="G730" s="471">
        <f t="shared" si="65"/>
        <v>2154423.0282142884</v>
      </c>
      <c r="H730" s="509">
        <f>+J699*G730+E730</f>
        <v>367944.39464816602</v>
      </c>
      <c r="I730" s="516">
        <f>+J700*G730+E730</f>
        <v>367944.39464816602</v>
      </c>
      <c r="J730" s="512">
        <f t="shared" si="66"/>
        <v>0</v>
      </c>
      <c r="K730" s="512"/>
      <c r="L730" s="517"/>
      <c r="M730" s="512">
        <f t="shared" si="67"/>
        <v>0</v>
      </c>
      <c r="N730" s="517"/>
      <c r="O730" s="512">
        <f t="shared" si="68"/>
        <v>0</v>
      </c>
      <c r="P730" s="512">
        <f t="shared" si="69"/>
        <v>0</v>
      </c>
      <c r="Q730" s="473"/>
    </row>
    <row r="731" spans="3:17">
      <c r="C731" s="508">
        <f>IF(D698="","-",+C730+1)</f>
        <v>2042</v>
      </c>
      <c r="D731" s="471">
        <f t="shared" si="70"/>
        <v>2089137.4819047647</v>
      </c>
      <c r="E731" s="515">
        <f t="shared" si="71"/>
        <v>130571.09261904762</v>
      </c>
      <c r="F731" s="515">
        <f t="shared" si="64"/>
        <v>1958566.3892857172</v>
      </c>
      <c r="G731" s="471">
        <f t="shared" si="65"/>
        <v>2023851.9355952409</v>
      </c>
      <c r="H731" s="509">
        <f>+J699*G731+E731</f>
        <v>353558.13391912857</v>
      </c>
      <c r="I731" s="516">
        <f>+J700*G731+E731</f>
        <v>353558.13391912857</v>
      </c>
      <c r="J731" s="512">
        <f t="shared" si="66"/>
        <v>0</v>
      </c>
      <c r="K731" s="512"/>
      <c r="L731" s="517"/>
      <c r="M731" s="512">
        <f t="shared" si="67"/>
        <v>0</v>
      </c>
      <c r="N731" s="517"/>
      <c r="O731" s="512">
        <f t="shared" si="68"/>
        <v>0</v>
      </c>
      <c r="P731" s="512">
        <f t="shared" si="69"/>
        <v>0</v>
      </c>
      <c r="Q731" s="473"/>
    </row>
    <row r="732" spans="3:17">
      <c r="C732" s="508">
        <f>IF(D698="","-",+C731+1)</f>
        <v>2043</v>
      </c>
      <c r="D732" s="471">
        <f t="shared" si="70"/>
        <v>1958566.3892857172</v>
      </c>
      <c r="E732" s="515">
        <f t="shared" si="71"/>
        <v>130571.09261904762</v>
      </c>
      <c r="F732" s="515">
        <f t="shared" si="64"/>
        <v>1827995.2966666697</v>
      </c>
      <c r="G732" s="471">
        <f t="shared" si="65"/>
        <v>1893280.8429761934</v>
      </c>
      <c r="H732" s="509">
        <f>+J699*G732+E732</f>
        <v>339171.87319009111</v>
      </c>
      <c r="I732" s="516">
        <f>+J700*G732+E732</f>
        <v>339171.87319009111</v>
      </c>
      <c r="J732" s="512">
        <f t="shared" si="66"/>
        <v>0</v>
      </c>
      <c r="K732" s="512"/>
      <c r="L732" s="517"/>
      <c r="M732" s="512">
        <f t="shared" si="67"/>
        <v>0</v>
      </c>
      <c r="N732" s="517"/>
      <c r="O732" s="512">
        <f t="shared" si="68"/>
        <v>0</v>
      </c>
      <c r="P732" s="512">
        <f t="shared" si="69"/>
        <v>0</v>
      </c>
      <c r="Q732" s="473"/>
    </row>
    <row r="733" spans="3:17">
      <c r="C733" s="508">
        <f>IF(D698="","-",+C732+1)</f>
        <v>2044</v>
      </c>
      <c r="D733" s="471">
        <f t="shared" si="70"/>
        <v>1827995.2966666697</v>
      </c>
      <c r="E733" s="515">
        <f t="shared" si="71"/>
        <v>130571.09261904762</v>
      </c>
      <c r="F733" s="515">
        <f t="shared" si="64"/>
        <v>1697424.2040476222</v>
      </c>
      <c r="G733" s="471">
        <f t="shared" si="65"/>
        <v>1762709.7503571459</v>
      </c>
      <c r="H733" s="509">
        <f>+J699*G733+E733</f>
        <v>324785.61246105365</v>
      </c>
      <c r="I733" s="516">
        <f>+J700*G733+E733</f>
        <v>324785.61246105365</v>
      </c>
      <c r="J733" s="512">
        <f t="shared" si="66"/>
        <v>0</v>
      </c>
      <c r="K733" s="512"/>
      <c r="L733" s="517"/>
      <c r="M733" s="512">
        <f t="shared" si="67"/>
        <v>0</v>
      </c>
      <c r="N733" s="517"/>
      <c r="O733" s="512">
        <f t="shared" si="68"/>
        <v>0</v>
      </c>
      <c r="P733" s="512">
        <f t="shared" si="69"/>
        <v>0</v>
      </c>
      <c r="Q733" s="473"/>
    </row>
    <row r="734" spans="3:17">
      <c r="C734" s="508">
        <f>IF(D698="","-",+C733+1)</f>
        <v>2045</v>
      </c>
      <c r="D734" s="471">
        <f t="shared" si="70"/>
        <v>1697424.2040476222</v>
      </c>
      <c r="E734" s="515">
        <f t="shared" si="71"/>
        <v>130571.09261904762</v>
      </c>
      <c r="F734" s="515">
        <f t="shared" si="64"/>
        <v>1566853.1114285747</v>
      </c>
      <c r="G734" s="471">
        <f t="shared" si="65"/>
        <v>1632138.6577380984</v>
      </c>
      <c r="H734" s="509">
        <f>+J699*G734+E734</f>
        <v>310399.35173201619</v>
      </c>
      <c r="I734" s="516">
        <f>+J700*G734+E734</f>
        <v>310399.35173201619</v>
      </c>
      <c r="J734" s="512">
        <f t="shared" si="66"/>
        <v>0</v>
      </c>
      <c r="K734" s="512"/>
      <c r="L734" s="517"/>
      <c r="M734" s="512">
        <f t="shared" si="67"/>
        <v>0</v>
      </c>
      <c r="N734" s="517"/>
      <c r="O734" s="512">
        <f t="shared" si="68"/>
        <v>0</v>
      </c>
      <c r="P734" s="512">
        <f t="shared" si="69"/>
        <v>0</v>
      </c>
      <c r="Q734" s="473"/>
    </row>
    <row r="735" spans="3:17">
      <c r="C735" s="508">
        <f>IF(D698="","-",+C734+1)</f>
        <v>2046</v>
      </c>
      <c r="D735" s="471">
        <f t="shared" si="70"/>
        <v>1566853.1114285747</v>
      </c>
      <c r="E735" s="515">
        <f t="shared" si="71"/>
        <v>130571.09261904762</v>
      </c>
      <c r="F735" s="515">
        <f t="shared" si="64"/>
        <v>1436282.0188095272</v>
      </c>
      <c r="G735" s="471">
        <f t="shared" si="65"/>
        <v>1501567.5651190509</v>
      </c>
      <c r="H735" s="509">
        <f>+J699*G735+E735</f>
        <v>296013.09100297879</v>
      </c>
      <c r="I735" s="516">
        <f>+J700*G735+E735</f>
        <v>296013.09100297879</v>
      </c>
      <c r="J735" s="512">
        <f t="shared" si="66"/>
        <v>0</v>
      </c>
      <c r="K735" s="512"/>
      <c r="L735" s="517"/>
      <c r="M735" s="512">
        <f t="shared" si="67"/>
        <v>0</v>
      </c>
      <c r="N735" s="517"/>
      <c r="O735" s="512">
        <f t="shared" si="68"/>
        <v>0</v>
      </c>
      <c r="P735" s="512">
        <f t="shared" si="69"/>
        <v>0</v>
      </c>
      <c r="Q735" s="473"/>
    </row>
    <row r="736" spans="3:17">
      <c r="C736" s="508">
        <f>IF(D698="","-",+C735+1)</f>
        <v>2047</v>
      </c>
      <c r="D736" s="471">
        <f t="shared" si="70"/>
        <v>1436282.0188095272</v>
      </c>
      <c r="E736" s="515">
        <f t="shared" si="71"/>
        <v>130571.09261904762</v>
      </c>
      <c r="F736" s="515">
        <f t="shared" si="64"/>
        <v>1305710.9261904797</v>
      </c>
      <c r="G736" s="471">
        <f t="shared" si="65"/>
        <v>1370996.4725000034</v>
      </c>
      <c r="H736" s="509">
        <f>+J699*G736+E736</f>
        <v>281626.83027394133</v>
      </c>
      <c r="I736" s="516">
        <f>+J700*G736+E736</f>
        <v>281626.83027394133</v>
      </c>
      <c r="J736" s="512">
        <f t="shared" si="66"/>
        <v>0</v>
      </c>
      <c r="K736" s="512"/>
      <c r="L736" s="517"/>
      <c r="M736" s="512">
        <f t="shared" si="67"/>
        <v>0</v>
      </c>
      <c r="N736" s="517"/>
      <c r="O736" s="512">
        <f t="shared" si="68"/>
        <v>0</v>
      </c>
      <c r="P736" s="512">
        <f t="shared" si="69"/>
        <v>0</v>
      </c>
      <c r="Q736" s="473"/>
    </row>
    <row r="737" spans="3:17">
      <c r="C737" s="508">
        <f>IF(D698="","-",+C736+1)</f>
        <v>2048</v>
      </c>
      <c r="D737" s="471">
        <f t="shared" si="70"/>
        <v>1305710.9261904797</v>
      </c>
      <c r="E737" s="515">
        <f t="shared" si="71"/>
        <v>130571.09261904762</v>
      </c>
      <c r="F737" s="515">
        <f t="shared" si="64"/>
        <v>1175139.8335714322</v>
      </c>
      <c r="G737" s="471">
        <f t="shared" si="65"/>
        <v>1240425.3798809559</v>
      </c>
      <c r="H737" s="509">
        <f>+J699*G737+E737</f>
        <v>267240.56954490388</v>
      </c>
      <c r="I737" s="516">
        <f>+J700*G737+E737</f>
        <v>267240.56954490388</v>
      </c>
      <c r="J737" s="512">
        <f t="shared" si="66"/>
        <v>0</v>
      </c>
      <c r="K737" s="512"/>
      <c r="L737" s="517"/>
      <c r="M737" s="512">
        <f t="shared" si="67"/>
        <v>0</v>
      </c>
      <c r="N737" s="517"/>
      <c r="O737" s="512">
        <f t="shared" si="68"/>
        <v>0</v>
      </c>
      <c r="P737" s="512">
        <f t="shared" si="69"/>
        <v>0</v>
      </c>
      <c r="Q737" s="473"/>
    </row>
    <row r="738" spans="3:17">
      <c r="C738" s="508">
        <f>IF(D698="","-",+C737+1)</f>
        <v>2049</v>
      </c>
      <c r="D738" s="471">
        <f t="shared" si="70"/>
        <v>1175139.8335714322</v>
      </c>
      <c r="E738" s="515">
        <f t="shared" si="71"/>
        <v>130571.09261904762</v>
      </c>
      <c r="F738" s="515">
        <f t="shared" si="64"/>
        <v>1044568.7409523845</v>
      </c>
      <c r="G738" s="471">
        <f t="shared" si="65"/>
        <v>1109854.2872619084</v>
      </c>
      <c r="H738" s="509">
        <f>+J699*G738+E738</f>
        <v>252854.30881586645</v>
      </c>
      <c r="I738" s="516">
        <f>+J700*G738+E738</f>
        <v>252854.30881586645</v>
      </c>
      <c r="J738" s="512">
        <f t="shared" si="66"/>
        <v>0</v>
      </c>
      <c r="K738" s="512"/>
      <c r="L738" s="517"/>
      <c r="M738" s="512">
        <f t="shared" si="67"/>
        <v>0</v>
      </c>
      <c r="N738" s="517"/>
      <c r="O738" s="512">
        <f t="shared" si="68"/>
        <v>0</v>
      </c>
      <c r="P738" s="512">
        <f t="shared" si="69"/>
        <v>0</v>
      </c>
      <c r="Q738" s="473"/>
    </row>
    <row r="739" spans="3:17">
      <c r="C739" s="508">
        <f>IF(D698="","-",+C738+1)</f>
        <v>2050</v>
      </c>
      <c r="D739" s="471">
        <f t="shared" si="70"/>
        <v>1044568.7409523845</v>
      </c>
      <c r="E739" s="515">
        <f t="shared" si="71"/>
        <v>130571.09261904762</v>
      </c>
      <c r="F739" s="515">
        <f t="shared" si="64"/>
        <v>913997.64833333693</v>
      </c>
      <c r="G739" s="471">
        <f t="shared" si="65"/>
        <v>979283.19464286068</v>
      </c>
      <c r="H739" s="509">
        <f>+J699*G739+E739</f>
        <v>238468.04808682896</v>
      </c>
      <c r="I739" s="516">
        <f>+J700*G739+E739</f>
        <v>238468.04808682896</v>
      </c>
      <c r="J739" s="512">
        <f t="shared" si="66"/>
        <v>0</v>
      </c>
      <c r="K739" s="512"/>
      <c r="L739" s="517"/>
      <c r="M739" s="512">
        <f t="shared" si="67"/>
        <v>0</v>
      </c>
      <c r="N739" s="517"/>
      <c r="O739" s="512">
        <f t="shared" si="68"/>
        <v>0</v>
      </c>
      <c r="P739" s="512">
        <f t="shared" si="69"/>
        <v>0</v>
      </c>
      <c r="Q739" s="473"/>
    </row>
    <row r="740" spans="3:17">
      <c r="C740" s="508">
        <f>IF(D698="","-",+C739+1)</f>
        <v>2051</v>
      </c>
      <c r="D740" s="471">
        <f t="shared" si="70"/>
        <v>913997.64833333693</v>
      </c>
      <c r="E740" s="515">
        <f t="shared" si="71"/>
        <v>130571.09261904762</v>
      </c>
      <c r="F740" s="515">
        <f t="shared" si="64"/>
        <v>783426.55571428931</v>
      </c>
      <c r="G740" s="471">
        <f t="shared" si="65"/>
        <v>848712.10202381318</v>
      </c>
      <c r="H740" s="509">
        <f>+J699*G740+E740</f>
        <v>224081.7873577915</v>
      </c>
      <c r="I740" s="516">
        <f>+J700*G740+E740</f>
        <v>224081.7873577915</v>
      </c>
      <c r="J740" s="512">
        <f t="shared" si="66"/>
        <v>0</v>
      </c>
      <c r="K740" s="512"/>
      <c r="L740" s="517"/>
      <c r="M740" s="512">
        <f t="shared" si="67"/>
        <v>0</v>
      </c>
      <c r="N740" s="517"/>
      <c r="O740" s="512">
        <f t="shared" si="68"/>
        <v>0</v>
      </c>
      <c r="P740" s="512">
        <f t="shared" si="69"/>
        <v>0</v>
      </c>
      <c r="Q740" s="473"/>
    </row>
    <row r="741" spans="3:17">
      <c r="C741" s="508">
        <f>IF(D698="","-",+C740+1)</f>
        <v>2052</v>
      </c>
      <c r="D741" s="471">
        <f t="shared" si="70"/>
        <v>783426.55571428931</v>
      </c>
      <c r="E741" s="515">
        <f t="shared" si="71"/>
        <v>130571.09261904762</v>
      </c>
      <c r="F741" s="515">
        <f t="shared" si="64"/>
        <v>652855.46309524169</v>
      </c>
      <c r="G741" s="471">
        <f t="shared" si="65"/>
        <v>718141.00940476544</v>
      </c>
      <c r="H741" s="509">
        <f>+J699*G741+E741</f>
        <v>209695.52662875404</v>
      </c>
      <c r="I741" s="516">
        <f>+J700*G741+E741</f>
        <v>209695.52662875404</v>
      </c>
      <c r="J741" s="512">
        <f t="shared" si="66"/>
        <v>0</v>
      </c>
      <c r="K741" s="512"/>
      <c r="L741" s="517"/>
      <c r="M741" s="512">
        <f t="shared" si="67"/>
        <v>0</v>
      </c>
      <c r="N741" s="517"/>
      <c r="O741" s="512">
        <f t="shared" si="68"/>
        <v>0</v>
      </c>
      <c r="P741" s="512">
        <f t="shared" si="69"/>
        <v>0</v>
      </c>
      <c r="Q741" s="473"/>
    </row>
    <row r="742" spans="3:17">
      <c r="C742" s="508">
        <f>IF(D698="","-",+C741+1)</f>
        <v>2053</v>
      </c>
      <c r="D742" s="471">
        <f t="shared" si="70"/>
        <v>652855.46309524169</v>
      </c>
      <c r="E742" s="515">
        <f t="shared" si="71"/>
        <v>130571.09261904762</v>
      </c>
      <c r="F742" s="515">
        <f t="shared" si="64"/>
        <v>522284.37047619408</v>
      </c>
      <c r="G742" s="471">
        <f t="shared" si="65"/>
        <v>587569.91678571794</v>
      </c>
      <c r="H742" s="509">
        <f>+J699*G742+E742</f>
        <v>195309.26589971659</v>
      </c>
      <c r="I742" s="516">
        <f>+J700*G742+E742</f>
        <v>195309.26589971659</v>
      </c>
      <c r="J742" s="512">
        <f t="shared" si="66"/>
        <v>0</v>
      </c>
      <c r="K742" s="512"/>
      <c r="L742" s="517"/>
      <c r="M742" s="512">
        <f t="shared" si="67"/>
        <v>0</v>
      </c>
      <c r="N742" s="517"/>
      <c r="O742" s="512">
        <f t="shared" si="68"/>
        <v>0</v>
      </c>
      <c r="P742" s="512">
        <f t="shared" si="69"/>
        <v>0</v>
      </c>
      <c r="Q742" s="473"/>
    </row>
    <row r="743" spans="3:17">
      <c r="C743" s="508">
        <f>IF(D698="","-",+C742+1)</f>
        <v>2054</v>
      </c>
      <c r="D743" s="471">
        <f t="shared" si="70"/>
        <v>522284.37047619408</v>
      </c>
      <c r="E743" s="515">
        <f t="shared" si="71"/>
        <v>130571.09261904762</v>
      </c>
      <c r="F743" s="515">
        <f t="shared" si="64"/>
        <v>391713.27785714646</v>
      </c>
      <c r="G743" s="471">
        <f t="shared" si="65"/>
        <v>456998.82416667027</v>
      </c>
      <c r="H743" s="509">
        <f>+J699*G743+E743</f>
        <v>180923.00517067913</v>
      </c>
      <c r="I743" s="516">
        <f>+J700*G743+E743</f>
        <v>180923.00517067913</v>
      </c>
      <c r="J743" s="512">
        <f t="shared" si="66"/>
        <v>0</v>
      </c>
      <c r="K743" s="512"/>
      <c r="L743" s="517"/>
      <c r="M743" s="512">
        <f t="shared" si="67"/>
        <v>0</v>
      </c>
      <c r="N743" s="517"/>
      <c r="O743" s="512">
        <f t="shared" si="68"/>
        <v>0</v>
      </c>
      <c r="P743" s="512">
        <f t="shared" si="69"/>
        <v>0</v>
      </c>
      <c r="Q743" s="473"/>
    </row>
    <row r="744" spans="3:17">
      <c r="C744" s="508">
        <f>IF(D698="","-",+C743+1)</f>
        <v>2055</v>
      </c>
      <c r="D744" s="471">
        <f t="shared" si="70"/>
        <v>391713.27785714646</v>
      </c>
      <c r="E744" s="515">
        <f t="shared" si="71"/>
        <v>130571.09261904762</v>
      </c>
      <c r="F744" s="515">
        <f t="shared" si="64"/>
        <v>261142.18523809884</v>
      </c>
      <c r="G744" s="471">
        <f t="shared" si="65"/>
        <v>326427.73154762265</v>
      </c>
      <c r="H744" s="509">
        <f>+J699*G744+E744</f>
        <v>166536.74444164167</v>
      </c>
      <c r="I744" s="516">
        <f>+J700*G744+E744</f>
        <v>166536.74444164167</v>
      </c>
      <c r="J744" s="512">
        <f t="shared" si="66"/>
        <v>0</v>
      </c>
      <c r="K744" s="512"/>
      <c r="L744" s="517"/>
      <c r="M744" s="512">
        <f t="shared" si="67"/>
        <v>0</v>
      </c>
      <c r="N744" s="517"/>
      <c r="O744" s="512">
        <f t="shared" si="68"/>
        <v>0</v>
      </c>
      <c r="P744" s="512">
        <f t="shared" si="69"/>
        <v>0</v>
      </c>
      <c r="Q744" s="473"/>
    </row>
    <row r="745" spans="3:17">
      <c r="C745" s="508">
        <f>IF(D698="","-",+C744+1)</f>
        <v>2056</v>
      </c>
      <c r="D745" s="471">
        <f t="shared" si="70"/>
        <v>261142.18523809884</v>
      </c>
      <c r="E745" s="515">
        <f t="shared" si="71"/>
        <v>130571.09261904762</v>
      </c>
      <c r="F745" s="515">
        <f t="shared" si="64"/>
        <v>130571.09261905123</v>
      </c>
      <c r="G745" s="471">
        <f t="shared" si="65"/>
        <v>195856.63892857503</v>
      </c>
      <c r="H745" s="509">
        <f>+J699*G745+E745</f>
        <v>152150.48371260421</v>
      </c>
      <c r="I745" s="516">
        <f>+J700*G745+E745</f>
        <v>152150.48371260421</v>
      </c>
      <c r="J745" s="512">
        <f t="shared" si="66"/>
        <v>0</v>
      </c>
      <c r="K745" s="512"/>
      <c r="L745" s="517"/>
      <c r="M745" s="512">
        <f t="shared" si="67"/>
        <v>0</v>
      </c>
      <c r="N745" s="517"/>
      <c r="O745" s="512">
        <f t="shared" si="68"/>
        <v>0</v>
      </c>
      <c r="P745" s="512">
        <f t="shared" si="69"/>
        <v>0</v>
      </c>
      <c r="Q745" s="473"/>
    </row>
    <row r="746" spans="3:17">
      <c r="C746" s="508">
        <f>IF(D698="","-",+C745+1)</f>
        <v>2057</v>
      </c>
      <c r="D746" s="471">
        <f t="shared" si="70"/>
        <v>130571.09261905123</v>
      </c>
      <c r="E746" s="515">
        <f t="shared" si="71"/>
        <v>130571.09261904762</v>
      </c>
      <c r="F746" s="515">
        <f t="shared" si="64"/>
        <v>3.6088749766349792E-9</v>
      </c>
      <c r="G746" s="471">
        <f t="shared" si="65"/>
        <v>65285.546309527417</v>
      </c>
      <c r="H746" s="509">
        <f>+J699*G746+E746</f>
        <v>137764.22298356675</v>
      </c>
      <c r="I746" s="516">
        <f>+J700*G746+E746</f>
        <v>137764.22298356675</v>
      </c>
      <c r="J746" s="512">
        <f t="shared" si="66"/>
        <v>0</v>
      </c>
      <c r="K746" s="512"/>
      <c r="L746" s="517"/>
      <c r="M746" s="512">
        <f t="shared" si="67"/>
        <v>0</v>
      </c>
      <c r="N746" s="517"/>
      <c r="O746" s="512">
        <f t="shared" si="68"/>
        <v>0</v>
      </c>
      <c r="P746" s="512">
        <f t="shared" si="69"/>
        <v>0</v>
      </c>
      <c r="Q746" s="473"/>
    </row>
    <row r="747" spans="3:17">
      <c r="C747" s="508">
        <f>IF(D698="","-",+C746+1)</f>
        <v>2058</v>
      </c>
      <c r="D747" s="471">
        <f t="shared" si="70"/>
        <v>3.6088749766349792E-9</v>
      </c>
      <c r="E747" s="515">
        <f t="shared" si="71"/>
        <v>3.6088749766349792E-9</v>
      </c>
      <c r="F747" s="515">
        <f t="shared" si="64"/>
        <v>0</v>
      </c>
      <c r="G747" s="471">
        <f t="shared" si="65"/>
        <v>1.8044374883174896E-9</v>
      </c>
      <c r="H747" s="509">
        <f>+J699*G747+E747</f>
        <v>3.8076870387498519E-9</v>
      </c>
      <c r="I747" s="516">
        <f>+J700*G747+E747</f>
        <v>3.8076870387498519E-9</v>
      </c>
      <c r="J747" s="512">
        <f t="shared" si="66"/>
        <v>0</v>
      </c>
      <c r="K747" s="512"/>
      <c r="L747" s="517"/>
      <c r="M747" s="512">
        <f t="shared" si="67"/>
        <v>0</v>
      </c>
      <c r="N747" s="517"/>
      <c r="O747" s="512">
        <f t="shared" si="68"/>
        <v>0</v>
      </c>
      <c r="P747" s="512">
        <f t="shared" si="69"/>
        <v>0</v>
      </c>
      <c r="Q747" s="473"/>
    </row>
    <row r="748" spans="3:17">
      <c r="C748" s="508">
        <f>IF(D698="","-",+C747+1)</f>
        <v>2059</v>
      </c>
      <c r="D748" s="471">
        <f t="shared" si="70"/>
        <v>0</v>
      </c>
      <c r="E748" s="515">
        <f t="shared" si="71"/>
        <v>0</v>
      </c>
      <c r="F748" s="515">
        <f t="shared" si="64"/>
        <v>0</v>
      </c>
      <c r="G748" s="471">
        <f t="shared" si="65"/>
        <v>0</v>
      </c>
      <c r="H748" s="509">
        <f>+J699*G748+E748</f>
        <v>0</v>
      </c>
      <c r="I748" s="516">
        <f>+J700*G748+E748</f>
        <v>0</v>
      </c>
      <c r="J748" s="512">
        <f t="shared" si="66"/>
        <v>0</v>
      </c>
      <c r="K748" s="512"/>
      <c r="L748" s="517"/>
      <c r="M748" s="512">
        <f t="shared" si="67"/>
        <v>0</v>
      </c>
      <c r="N748" s="517"/>
      <c r="O748" s="512">
        <f t="shared" si="68"/>
        <v>0</v>
      </c>
      <c r="P748" s="512">
        <f t="shared" si="69"/>
        <v>0</v>
      </c>
      <c r="Q748" s="473"/>
    </row>
    <row r="749" spans="3:17">
      <c r="C749" s="508">
        <f>IF(D698="","-",+C748+1)</f>
        <v>2060</v>
      </c>
      <c r="D749" s="471">
        <f t="shared" si="70"/>
        <v>0</v>
      </c>
      <c r="E749" s="515">
        <f t="shared" si="71"/>
        <v>0</v>
      </c>
      <c r="F749" s="515">
        <f t="shared" si="64"/>
        <v>0</v>
      </c>
      <c r="G749" s="471">
        <f t="shared" si="65"/>
        <v>0</v>
      </c>
      <c r="H749" s="509">
        <f>+J699*G749+E749</f>
        <v>0</v>
      </c>
      <c r="I749" s="516">
        <f>+J700*G749+E749</f>
        <v>0</v>
      </c>
      <c r="J749" s="512">
        <f t="shared" si="66"/>
        <v>0</v>
      </c>
      <c r="K749" s="512"/>
      <c r="L749" s="517"/>
      <c r="M749" s="512">
        <f t="shared" si="67"/>
        <v>0</v>
      </c>
      <c r="N749" s="517"/>
      <c r="O749" s="512">
        <f t="shared" si="68"/>
        <v>0</v>
      </c>
      <c r="P749" s="512">
        <f t="shared" si="69"/>
        <v>0</v>
      </c>
      <c r="Q749" s="473"/>
    </row>
    <row r="750" spans="3:17">
      <c r="C750" s="508">
        <f>IF(D698="","-",+C749+1)</f>
        <v>2061</v>
      </c>
      <c r="D750" s="471">
        <f t="shared" si="70"/>
        <v>0</v>
      </c>
      <c r="E750" s="515">
        <f t="shared" si="71"/>
        <v>0</v>
      </c>
      <c r="F750" s="515">
        <f t="shared" si="64"/>
        <v>0</v>
      </c>
      <c r="G750" s="471">
        <f t="shared" si="65"/>
        <v>0</v>
      </c>
      <c r="H750" s="509">
        <f>+J699*G750+E750</f>
        <v>0</v>
      </c>
      <c r="I750" s="516">
        <f>+J700*G750+E750</f>
        <v>0</v>
      </c>
      <c r="J750" s="512">
        <f t="shared" si="66"/>
        <v>0</v>
      </c>
      <c r="K750" s="512"/>
      <c r="L750" s="517"/>
      <c r="M750" s="512">
        <f t="shared" si="67"/>
        <v>0</v>
      </c>
      <c r="N750" s="517"/>
      <c r="O750" s="512">
        <f t="shared" si="68"/>
        <v>0</v>
      </c>
      <c r="P750" s="512">
        <f t="shared" si="69"/>
        <v>0</v>
      </c>
      <c r="Q750" s="473"/>
    </row>
    <row r="751" spans="3:17">
      <c r="C751" s="508">
        <f>IF(D698="","-",+C750+1)</f>
        <v>2062</v>
      </c>
      <c r="D751" s="471">
        <f t="shared" si="70"/>
        <v>0</v>
      </c>
      <c r="E751" s="515">
        <f t="shared" si="71"/>
        <v>0</v>
      </c>
      <c r="F751" s="515">
        <f t="shared" si="64"/>
        <v>0</v>
      </c>
      <c r="G751" s="471">
        <f t="shared" si="65"/>
        <v>0</v>
      </c>
      <c r="H751" s="509">
        <f>+J699*G751+E751</f>
        <v>0</v>
      </c>
      <c r="I751" s="516">
        <f>+J700*G751+E751</f>
        <v>0</v>
      </c>
      <c r="J751" s="512">
        <f t="shared" si="66"/>
        <v>0</v>
      </c>
      <c r="K751" s="512"/>
      <c r="L751" s="517"/>
      <c r="M751" s="512">
        <f t="shared" si="67"/>
        <v>0</v>
      </c>
      <c r="N751" s="517"/>
      <c r="O751" s="512">
        <f t="shared" si="68"/>
        <v>0</v>
      </c>
      <c r="P751" s="512">
        <f t="shared" si="69"/>
        <v>0</v>
      </c>
      <c r="Q751" s="473"/>
    </row>
    <row r="752" spans="3:17">
      <c r="C752" s="508">
        <f>IF(D698="","-",+C751+1)</f>
        <v>2063</v>
      </c>
      <c r="D752" s="471">
        <f t="shared" si="70"/>
        <v>0</v>
      </c>
      <c r="E752" s="515">
        <f t="shared" si="71"/>
        <v>0</v>
      </c>
      <c r="F752" s="515">
        <f t="shared" si="64"/>
        <v>0</v>
      </c>
      <c r="G752" s="471">
        <f t="shared" si="65"/>
        <v>0</v>
      </c>
      <c r="H752" s="509">
        <f>+J699*G752+E752</f>
        <v>0</v>
      </c>
      <c r="I752" s="516">
        <f>+J700*G752+E752</f>
        <v>0</v>
      </c>
      <c r="J752" s="512">
        <f t="shared" si="66"/>
        <v>0</v>
      </c>
      <c r="K752" s="512"/>
      <c r="L752" s="517"/>
      <c r="M752" s="512">
        <f t="shared" si="67"/>
        <v>0</v>
      </c>
      <c r="N752" s="517"/>
      <c r="O752" s="512">
        <f t="shared" si="68"/>
        <v>0</v>
      </c>
      <c r="P752" s="512">
        <f t="shared" si="69"/>
        <v>0</v>
      </c>
      <c r="Q752" s="473"/>
    </row>
    <row r="753" spans="3:17">
      <c r="C753" s="508">
        <f>IF(D698="","-",+C752+1)</f>
        <v>2064</v>
      </c>
      <c r="D753" s="471">
        <f t="shared" si="70"/>
        <v>0</v>
      </c>
      <c r="E753" s="515">
        <f t="shared" si="71"/>
        <v>0</v>
      </c>
      <c r="F753" s="515">
        <f t="shared" si="64"/>
        <v>0</v>
      </c>
      <c r="G753" s="471">
        <f t="shared" si="65"/>
        <v>0</v>
      </c>
      <c r="H753" s="509">
        <f>+J699*G753+E753</f>
        <v>0</v>
      </c>
      <c r="I753" s="516">
        <f>+J700*G753+E753</f>
        <v>0</v>
      </c>
      <c r="J753" s="512">
        <f t="shared" si="66"/>
        <v>0</v>
      </c>
      <c r="K753" s="512"/>
      <c r="L753" s="517"/>
      <c r="M753" s="512">
        <f t="shared" si="67"/>
        <v>0</v>
      </c>
      <c r="N753" s="517"/>
      <c r="O753" s="512">
        <f t="shared" si="68"/>
        <v>0</v>
      </c>
      <c r="P753" s="512">
        <f t="shared" si="69"/>
        <v>0</v>
      </c>
      <c r="Q753" s="473"/>
    </row>
    <row r="754" spans="3:17">
      <c r="C754" s="508">
        <f>IF(D698="","-",+C753+1)</f>
        <v>2065</v>
      </c>
      <c r="D754" s="471">
        <f t="shared" si="70"/>
        <v>0</v>
      </c>
      <c r="E754" s="515">
        <f t="shared" si="71"/>
        <v>0</v>
      </c>
      <c r="F754" s="515">
        <f t="shared" si="64"/>
        <v>0</v>
      </c>
      <c r="G754" s="471">
        <f t="shared" si="65"/>
        <v>0</v>
      </c>
      <c r="H754" s="509">
        <f>+J699*G754+E754</f>
        <v>0</v>
      </c>
      <c r="I754" s="516">
        <f>+J700*G754+E754</f>
        <v>0</v>
      </c>
      <c r="J754" s="512">
        <f t="shared" si="66"/>
        <v>0</v>
      </c>
      <c r="K754" s="512"/>
      <c r="L754" s="517"/>
      <c r="M754" s="512">
        <f t="shared" si="67"/>
        <v>0</v>
      </c>
      <c r="N754" s="517"/>
      <c r="O754" s="512">
        <f t="shared" si="68"/>
        <v>0</v>
      </c>
      <c r="P754" s="512">
        <f t="shared" si="69"/>
        <v>0</v>
      </c>
      <c r="Q754" s="473"/>
    </row>
    <row r="755" spans="3:17">
      <c r="C755" s="508">
        <f>IF(D698="","-",+C754+1)</f>
        <v>2066</v>
      </c>
      <c r="D755" s="471">
        <f t="shared" si="70"/>
        <v>0</v>
      </c>
      <c r="E755" s="515">
        <f t="shared" si="71"/>
        <v>0</v>
      </c>
      <c r="F755" s="515">
        <f t="shared" si="64"/>
        <v>0</v>
      </c>
      <c r="G755" s="471">
        <f t="shared" si="65"/>
        <v>0</v>
      </c>
      <c r="H755" s="509">
        <f>+J699*G755+E755</f>
        <v>0</v>
      </c>
      <c r="I755" s="516">
        <f>+J700*G755+E755</f>
        <v>0</v>
      </c>
      <c r="J755" s="512">
        <f t="shared" si="66"/>
        <v>0</v>
      </c>
      <c r="K755" s="512"/>
      <c r="L755" s="517"/>
      <c r="M755" s="512">
        <f t="shared" si="67"/>
        <v>0</v>
      </c>
      <c r="N755" s="517"/>
      <c r="O755" s="512">
        <f t="shared" si="68"/>
        <v>0</v>
      </c>
      <c r="P755" s="512">
        <f t="shared" si="69"/>
        <v>0</v>
      </c>
      <c r="Q755" s="473"/>
    </row>
    <row r="756" spans="3:17">
      <c r="C756" s="508">
        <f>IF(D698="","-",+C755+1)</f>
        <v>2067</v>
      </c>
      <c r="D756" s="471">
        <f t="shared" si="70"/>
        <v>0</v>
      </c>
      <c r="E756" s="515">
        <f t="shared" si="71"/>
        <v>0</v>
      </c>
      <c r="F756" s="515">
        <f t="shared" si="64"/>
        <v>0</v>
      </c>
      <c r="G756" s="471">
        <f t="shared" si="65"/>
        <v>0</v>
      </c>
      <c r="H756" s="509">
        <f>+J699*G756+E756</f>
        <v>0</v>
      </c>
      <c r="I756" s="516">
        <f>+J700*G756+E756</f>
        <v>0</v>
      </c>
      <c r="J756" s="512">
        <f t="shared" si="66"/>
        <v>0</v>
      </c>
      <c r="K756" s="512"/>
      <c r="L756" s="517"/>
      <c r="M756" s="512">
        <f t="shared" si="67"/>
        <v>0</v>
      </c>
      <c r="N756" s="517"/>
      <c r="O756" s="512">
        <f t="shared" si="68"/>
        <v>0</v>
      </c>
      <c r="P756" s="512">
        <f t="shared" si="69"/>
        <v>0</v>
      </c>
      <c r="Q756" s="473"/>
    </row>
    <row r="757" spans="3:17">
      <c r="C757" s="508">
        <f>IF(D698="","-",+C756+1)</f>
        <v>2068</v>
      </c>
      <c r="D757" s="471">
        <f t="shared" si="70"/>
        <v>0</v>
      </c>
      <c r="E757" s="515">
        <f t="shared" si="71"/>
        <v>0</v>
      </c>
      <c r="F757" s="515">
        <f t="shared" si="64"/>
        <v>0</v>
      </c>
      <c r="G757" s="471">
        <f t="shared" si="65"/>
        <v>0</v>
      </c>
      <c r="H757" s="509">
        <f>+J699*G757+E757</f>
        <v>0</v>
      </c>
      <c r="I757" s="516">
        <f>+J700*G757+E757</f>
        <v>0</v>
      </c>
      <c r="J757" s="512">
        <f t="shared" si="66"/>
        <v>0</v>
      </c>
      <c r="K757" s="512"/>
      <c r="L757" s="517"/>
      <c r="M757" s="512">
        <f t="shared" si="67"/>
        <v>0</v>
      </c>
      <c r="N757" s="517"/>
      <c r="O757" s="512">
        <f t="shared" si="68"/>
        <v>0</v>
      </c>
      <c r="P757" s="512">
        <f t="shared" si="69"/>
        <v>0</v>
      </c>
      <c r="Q757" s="473"/>
    </row>
    <row r="758" spans="3:17">
      <c r="C758" s="508">
        <f>IF(D698="","-",+C757+1)</f>
        <v>2069</v>
      </c>
      <c r="D758" s="471">
        <f t="shared" si="70"/>
        <v>0</v>
      </c>
      <c r="E758" s="515">
        <f t="shared" si="71"/>
        <v>0</v>
      </c>
      <c r="F758" s="515">
        <f t="shared" si="64"/>
        <v>0</v>
      </c>
      <c r="G758" s="471">
        <f t="shared" si="65"/>
        <v>0</v>
      </c>
      <c r="H758" s="509">
        <f>+J699*G758+E758</f>
        <v>0</v>
      </c>
      <c r="I758" s="516">
        <f>+J700*G758+E758</f>
        <v>0</v>
      </c>
      <c r="J758" s="512">
        <f t="shared" si="66"/>
        <v>0</v>
      </c>
      <c r="K758" s="512"/>
      <c r="L758" s="517"/>
      <c r="M758" s="512">
        <f t="shared" si="67"/>
        <v>0</v>
      </c>
      <c r="N758" s="517"/>
      <c r="O758" s="512">
        <f t="shared" si="68"/>
        <v>0</v>
      </c>
      <c r="P758" s="512">
        <f t="shared" si="69"/>
        <v>0</v>
      </c>
      <c r="Q758" s="473"/>
    </row>
    <row r="759" spans="3:17">
      <c r="C759" s="508">
        <f>IF(D698="","-",+C758+1)</f>
        <v>2070</v>
      </c>
      <c r="D759" s="471">
        <f t="shared" si="70"/>
        <v>0</v>
      </c>
      <c r="E759" s="515">
        <f t="shared" si="71"/>
        <v>0</v>
      </c>
      <c r="F759" s="515">
        <f t="shared" si="64"/>
        <v>0</v>
      </c>
      <c r="G759" s="471">
        <f t="shared" si="65"/>
        <v>0</v>
      </c>
      <c r="H759" s="509">
        <f>+J699*G759+E759</f>
        <v>0</v>
      </c>
      <c r="I759" s="516">
        <f>+J700*G759+E759</f>
        <v>0</v>
      </c>
      <c r="J759" s="512">
        <f t="shared" si="66"/>
        <v>0</v>
      </c>
      <c r="K759" s="512"/>
      <c r="L759" s="517"/>
      <c r="M759" s="512">
        <f t="shared" si="67"/>
        <v>0</v>
      </c>
      <c r="N759" s="517"/>
      <c r="O759" s="512">
        <f t="shared" si="68"/>
        <v>0</v>
      </c>
      <c r="P759" s="512">
        <f t="shared" si="69"/>
        <v>0</v>
      </c>
      <c r="Q759" s="473"/>
    </row>
    <row r="760" spans="3:17">
      <c r="C760" s="508">
        <f>IF(D698="","-",+C759+1)</f>
        <v>2071</v>
      </c>
      <c r="D760" s="471">
        <f t="shared" si="70"/>
        <v>0</v>
      </c>
      <c r="E760" s="515">
        <f t="shared" si="71"/>
        <v>0</v>
      </c>
      <c r="F760" s="515">
        <f t="shared" si="64"/>
        <v>0</v>
      </c>
      <c r="G760" s="471">
        <f t="shared" si="65"/>
        <v>0</v>
      </c>
      <c r="H760" s="509">
        <f>+J699*G760+E760</f>
        <v>0</v>
      </c>
      <c r="I760" s="516">
        <f>+J700*G760+E760</f>
        <v>0</v>
      </c>
      <c r="J760" s="512">
        <f t="shared" si="66"/>
        <v>0</v>
      </c>
      <c r="K760" s="512"/>
      <c r="L760" s="517"/>
      <c r="M760" s="512">
        <f t="shared" si="67"/>
        <v>0</v>
      </c>
      <c r="N760" s="517"/>
      <c r="O760" s="512">
        <f t="shared" si="68"/>
        <v>0</v>
      </c>
      <c r="P760" s="512">
        <f t="shared" si="69"/>
        <v>0</v>
      </c>
      <c r="Q760" s="473"/>
    </row>
    <row r="761" spans="3:17">
      <c r="C761" s="508">
        <f>IF(D698="","-",+C760+1)</f>
        <v>2072</v>
      </c>
      <c r="D761" s="471">
        <f t="shared" si="70"/>
        <v>0</v>
      </c>
      <c r="E761" s="515">
        <f t="shared" si="71"/>
        <v>0</v>
      </c>
      <c r="F761" s="515">
        <f t="shared" si="64"/>
        <v>0</v>
      </c>
      <c r="G761" s="471">
        <f t="shared" si="65"/>
        <v>0</v>
      </c>
      <c r="H761" s="509">
        <f>+J699*G761+E761</f>
        <v>0</v>
      </c>
      <c r="I761" s="516">
        <f>+J700*G761+E761</f>
        <v>0</v>
      </c>
      <c r="J761" s="512">
        <f t="shared" si="66"/>
        <v>0</v>
      </c>
      <c r="K761" s="512"/>
      <c r="L761" s="517"/>
      <c r="M761" s="512">
        <f t="shared" si="67"/>
        <v>0</v>
      </c>
      <c r="N761" s="517"/>
      <c r="O761" s="512">
        <f t="shared" si="68"/>
        <v>0</v>
      </c>
      <c r="P761" s="512">
        <f t="shared" si="69"/>
        <v>0</v>
      </c>
      <c r="Q761" s="473"/>
    </row>
    <row r="762" spans="3:17">
      <c r="C762" s="508">
        <f>IF(D698="","-",+C761+1)</f>
        <v>2073</v>
      </c>
      <c r="D762" s="471">
        <f t="shared" si="70"/>
        <v>0</v>
      </c>
      <c r="E762" s="515">
        <f t="shared" si="71"/>
        <v>0</v>
      </c>
      <c r="F762" s="515">
        <f t="shared" si="64"/>
        <v>0</v>
      </c>
      <c r="G762" s="471">
        <f t="shared" si="65"/>
        <v>0</v>
      </c>
      <c r="H762" s="509">
        <f>+J699*G762+E762</f>
        <v>0</v>
      </c>
      <c r="I762" s="516">
        <f>+J700*G762+E762</f>
        <v>0</v>
      </c>
      <c r="J762" s="512">
        <f t="shared" si="66"/>
        <v>0</v>
      </c>
      <c r="K762" s="512"/>
      <c r="L762" s="517"/>
      <c r="M762" s="512">
        <f t="shared" si="67"/>
        <v>0</v>
      </c>
      <c r="N762" s="517"/>
      <c r="O762" s="512">
        <f t="shared" si="68"/>
        <v>0</v>
      </c>
      <c r="P762" s="512">
        <f t="shared" si="69"/>
        <v>0</v>
      </c>
      <c r="Q762" s="473"/>
    </row>
    <row r="763" spans="3:17" ht="13.5" thickBot="1">
      <c r="C763" s="520">
        <f>IF(D698="","-",+C762+1)</f>
        <v>2074</v>
      </c>
      <c r="D763" s="521">
        <f t="shared" si="70"/>
        <v>0</v>
      </c>
      <c r="E763" s="522">
        <f t="shared" si="71"/>
        <v>0</v>
      </c>
      <c r="F763" s="522">
        <f t="shared" si="64"/>
        <v>0</v>
      </c>
      <c r="G763" s="521">
        <f t="shared" si="65"/>
        <v>0</v>
      </c>
      <c r="H763" s="523">
        <f>+J699*G763+E763</f>
        <v>0</v>
      </c>
      <c r="I763" s="523">
        <f>+J700*G763+E763</f>
        <v>0</v>
      </c>
      <c r="J763" s="524">
        <f t="shared" si="66"/>
        <v>0</v>
      </c>
      <c r="K763" s="512"/>
      <c r="L763" s="525"/>
      <c r="M763" s="524">
        <f t="shared" si="67"/>
        <v>0</v>
      </c>
      <c r="N763" s="525"/>
      <c r="O763" s="524">
        <f t="shared" si="68"/>
        <v>0</v>
      </c>
      <c r="P763" s="524">
        <f t="shared" si="69"/>
        <v>0</v>
      </c>
      <c r="Q763" s="473"/>
    </row>
    <row r="764" spans="3:17">
      <c r="C764" s="471" t="s">
        <v>288</v>
      </c>
      <c r="D764" s="469"/>
      <c r="E764" s="469">
        <f>SUM(E704:E763)</f>
        <v>5483985.8899999997</v>
      </c>
      <c r="F764" s="469"/>
      <c r="G764" s="469"/>
      <c r="H764" s="469">
        <f>SUM(H704:H763)</f>
        <v>18776890.803630628</v>
      </c>
      <c r="I764" s="469">
        <f>SUM(I704:I763)</f>
        <v>18776890.803630628</v>
      </c>
      <c r="J764" s="469">
        <f>SUM(J704:J763)</f>
        <v>0</v>
      </c>
      <c r="K764" s="469"/>
      <c r="L764" s="469"/>
      <c r="M764" s="469"/>
      <c r="N764" s="469"/>
      <c r="O764" s="469"/>
      <c r="Q764" s="469"/>
    </row>
    <row r="765" spans="3:17">
      <c r="D765" s="78"/>
      <c r="E765" s="4"/>
      <c r="F765" s="4"/>
      <c r="G765" s="4"/>
      <c r="H765" s="4"/>
      <c r="I765" s="454"/>
      <c r="J765" s="454"/>
      <c r="K765" s="469"/>
      <c r="L765" s="454"/>
      <c r="M765" s="454"/>
      <c r="N765" s="454"/>
      <c r="O765" s="454"/>
      <c r="Q765" s="469"/>
    </row>
    <row r="766" spans="3:17">
      <c r="C766" s="4" t="s">
        <v>600</v>
      </c>
      <c r="D766" s="78"/>
      <c r="E766" s="4"/>
      <c r="F766" s="4"/>
      <c r="G766" s="4"/>
      <c r="H766" s="4"/>
      <c r="I766" s="454"/>
      <c r="J766" s="454"/>
      <c r="K766" s="469"/>
      <c r="L766" s="454"/>
      <c r="M766" s="454"/>
      <c r="N766" s="454"/>
      <c r="O766" s="454"/>
      <c r="Q766" s="469"/>
    </row>
    <row r="767" spans="3:17">
      <c r="D767" s="78"/>
      <c r="E767" s="4"/>
      <c r="F767" s="4"/>
      <c r="G767" s="4"/>
      <c r="H767" s="4"/>
      <c r="I767" s="454"/>
      <c r="J767" s="454"/>
      <c r="K767" s="469"/>
      <c r="L767" s="454"/>
      <c r="M767" s="454"/>
      <c r="N767" s="454"/>
      <c r="O767" s="454"/>
      <c r="Q767" s="469"/>
    </row>
    <row r="768" spans="3:17">
      <c r="C768" s="4" t="s">
        <v>601</v>
      </c>
      <c r="D768" s="471"/>
      <c r="E768" s="471"/>
      <c r="F768" s="471"/>
      <c r="G768" s="471"/>
      <c r="H768" s="469"/>
      <c r="I768" s="469"/>
      <c r="J768" s="473"/>
      <c r="K768" s="473"/>
      <c r="L768" s="473"/>
      <c r="M768" s="473"/>
      <c r="N768" s="473"/>
      <c r="O768" s="473"/>
      <c r="Q768" s="473"/>
    </row>
    <row r="769" spans="1:17">
      <c r="C769" s="4" t="s">
        <v>476</v>
      </c>
      <c r="D769" s="471"/>
      <c r="E769" s="471"/>
      <c r="F769" s="471"/>
      <c r="G769" s="471"/>
      <c r="H769" s="469"/>
      <c r="I769" s="469"/>
      <c r="J769" s="473"/>
      <c r="K769" s="473"/>
      <c r="L769" s="473"/>
      <c r="M769" s="473"/>
      <c r="N769" s="473"/>
      <c r="O769" s="473"/>
      <c r="Q769" s="473"/>
    </row>
    <row r="770" spans="1:17">
      <c r="C770" s="4" t="s">
        <v>289</v>
      </c>
      <c r="D770" s="471"/>
      <c r="E770" s="471"/>
      <c r="F770" s="471"/>
      <c r="G770" s="471"/>
      <c r="H770" s="469"/>
      <c r="I770" s="469"/>
      <c r="J770" s="473"/>
      <c r="K770" s="473"/>
      <c r="L770" s="473"/>
      <c r="M770" s="473"/>
      <c r="N770" s="473"/>
      <c r="O770" s="473"/>
      <c r="Q770" s="473"/>
    </row>
    <row r="771" spans="1:17" ht="20.25">
      <c r="A771" s="413" t="s">
        <v>767</v>
      </c>
      <c r="B771" s="4"/>
      <c r="C771" s="4"/>
      <c r="D771" s="78"/>
      <c r="E771" s="4"/>
      <c r="F771" s="80"/>
      <c r="G771" s="80"/>
      <c r="H771" s="4"/>
      <c r="I771" s="454"/>
      <c r="L771" s="11"/>
      <c r="M771" s="11"/>
      <c r="N771" s="11"/>
      <c r="O771" s="11" t="str">
        <f>"Page "&amp;SUM(Q$3:Q771)&amp;" of "</f>
        <v xml:space="preserve">Page 10 of </v>
      </c>
      <c r="P771" s="414">
        <f>COUNT(Q$8:Q$58123)</f>
        <v>16</v>
      </c>
      <c r="Q771" s="544">
        <v>1</v>
      </c>
    </row>
    <row r="772" spans="1:17">
      <c r="B772" s="4"/>
      <c r="C772" s="4"/>
      <c r="D772" s="78"/>
      <c r="E772" s="4"/>
      <c r="F772" s="4"/>
      <c r="G772" s="4"/>
      <c r="H772" s="4"/>
      <c r="I772" s="454"/>
      <c r="J772" s="4"/>
      <c r="K772" s="4"/>
    </row>
    <row r="773" spans="1:17" ht="18">
      <c r="B773" s="415" t="s">
        <v>174</v>
      </c>
      <c r="C773" s="474" t="s">
        <v>290</v>
      </c>
      <c r="D773" s="78"/>
      <c r="E773" s="4"/>
      <c r="F773" s="4"/>
      <c r="G773" s="4"/>
      <c r="H773" s="4"/>
      <c r="I773" s="454"/>
      <c r="J773" s="454"/>
      <c r="K773" s="469"/>
      <c r="L773" s="454"/>
      <c r="M773" s="454"/>
      <c r="N773" s="454"/>
      <c r="O773" s="454"/>
      <c r="Q773" s="469"/>
    </row>
    <row r="774" spans="1:17" ht="18.75">
      <c r="B774" s="415"/>
      <c r="C774" s="13"/>
      <c r="D774" s="78"/>
      <c r="E774" s="4"/>
      <c r="F774" s="4"/>
      <c r="G774" s="4"/>
      <c r="H774" s="4"/>
      <c r="I774" s="454"/>
      <c r="J774" s="454"/>
      <c r="K774" s="469"/>
      <c r="L774" s="454"/>
      <c r="M774" s="454"/>
      <c r="N774" s="454"/>
      <c r="O774" s="454"/>
      <c r="Q774" s="469"/>
    </row>
    <row r="775" spans="1:17" ht="18.75">
      <c r="B775" s="415"/>
      <c r="C775" s="13" t="s">
        <v>291</v>
      </c>
      <c r="D775" s="78"/>
      <c r="E775" s="4"/>
      <c r="F775" s="4"/>
      <c r="G775" s="4"/>
      <c r="H775" s="4"/>
      <c r="I775" s="454"/>
      <c r="J775" s="454"/>
      <c r="K775" s="469"/>
      <c r="L775" s="454"/>
      <c r="M775" s="454"/>
      <c r="N775" s="454"/>
      <c r="O775" s="454"/>
      <c r="Q775" s="469"/>
    </row>
    <row r="776" spans="1:17" ht="15.75" thickBot="1">
      <c r="C776" s="250"/>
      <c r="D776" s="78"/>
      <c r="E776" s="4"/>
      <c r="F776" s="4"/>
      <c r="G776" s="4"/>
      <c r="H776" s="4"/>
      <c r="I776" s="454"/>
      <c r="J776" s="454"/>
      <c r="K776" s="469"/>
      <c r="L776" s="454"/>
      <c r="M776" s="454"/>
      <c r="N776" s="454"/>
      <c r="O776" s="454"/>
      <c r="Q776" s="469"/>
    </row>
    <row r="777" spans="1:17" ht="15.75">
      <c r="C777" s="416" t="s">
        <v>292</v>
      </c>
      <c r="D777" s="78"/>
      <c r="E777" s="4"/>
      <c r="F777" s="4"/>
      <c r="G777" s="4"/>
      <c r="H777" s="642"/>
      <c r="I777" s="4" t="s">
        <v>271</v>
      </c>
      <c r="J777" s="4"/>
      <c r="K777" s="4"/>
      <c r="L777" s="545">
        <f>+J783</f>
        <v>2025</v>
      </c>
      <c r="M777" s="529" t="s">
        <v>254</v>
      </c>
      <c r="N777" s="529" t="s">
        <v>255</v>
      </c>
      <c r="O777" s="530" t="s">
        <v>256</v>
      </c>
    </row>
    <row r="778" spans="1:17" ht="15.75">
      <c r="C778" s="416"/>
      <c r="D778" s="78"/>
      <c r="E778" s="4"/>
      <c r="F778" s="4"/>
      <c r="H778" s="4"/>
      <c r="I778" s="478"/>
      <c r="J778" s="478"/>
      <c r="K778" s="479"/>
      <c r="L778" s="546" t="s">
        <v>455</v>
      </c>
      <c r="M778" s="547">
        <f>VLOOKUP(J783,C790:P849,10)</f>
        <v>1151464.1654140486</v>
      </c>
      <c r="N778" s="547">
        <f>VLOOKUP(J783,C790:P849,12)</f>
        <v>1151464.1654140486</v>
      </c>
      <c r="O778" s="548">
        <f>+N778-M778</f>
        <v>0</v>
      </c>
      <c r="Q778" s="479"/>
    </row>
    <row r="779" spans="1:17">
      <c r="C779" s="481" t="s">
        <v>293</v>
      </c>
      <c r="D779" s="1304" t="s">
        <v>937</v>
      </c>
      <c r="E779" s="1304"/>
      <c r="F779" s="1304"/>
      <c r="G779" s="1304"/>
      <c r="H779" s="1304"/>
      <c r="I779" s="454"/>
      <c r="J779" s="454"/>
      <c r="K779" s="469"/>
      <c r="L779" s="546" t="s">
        <v>456</v>
      </c>
      <c r="M779" s="549">
        <f>VLOOKUP(J783,C790:P849,6)</f>
        <v>1149584.7943362342</v>
      </c>
      <c r="N779" s="549">
        <f>VLOOKUP(J783,C790:P849,7)</f>
        <v>1149584.7943362342</v>
      </c>
      <c r="O779" s="550">
        <f>+N779-M779</f>
        <v>0</v>
      </c>
      <c r="Q779" s="469"/>
    </row>
    <row r="780" spans="1:17" ht="13.5" thickBot="1">
      <c r="C780" s="483"/>
      <c r="D780" s="484"/>
      <c r="E780" s="471"/>
      <c r="F780" s="471"/>
      <c r="G780" s="471"/>
      <c r="H780" s="485"/>
      <c r="I780" s="454"/>
      <c r="J780" s="454"/>
      <c r="K780" s="469"/>
      <c r="L780" s="495" t="s">
        <v>457</v>
      </c>
      <c r="M780" s="551">
        <f>+M779-M778</f>
        <v>-1879.3710778143723</v>
      </c>
      <c r="N780" s="551">
        <f>+N779-N778</f>
        <v>-1879.3710778143723</v>
      </c>
      <c r="O780" s="552">
        <f>+O779-O778</f>
        <v>0</v>
      </c>
      <c r="Q780" s="469"/>
    </row>
    <row r="781" spans="1:17" ht="13.5" thickBot="1">
      <c r="C781" s="483"/>
      <c r="D781" s="4"/>
      <c r="E781" s="485"/>
      <c r="F781" s="485"/>
      <c r="G781" s="485"/>
      <c r="H781" s="485"/>
      <c r="I781" s="485"/>
      <c r="J781" s="485"/>
      <c r="K781" s="485"/>
      <c r="L781" s="485"/>
      <c r="M781" s="485"/>
      <c r="N781" s="485"/>
      <c r="O781" s="485"/>
      <c r="Q781" s="485"/>
    </row>
    <row r="782" spans="1:17" ht="13.5" thickBot="1">
      <c r="C782" s="487" t="s">
        <v>294</v>
      </c>
      <c r="D782" s="488"/>
      <c r="E782" s="488"/>
      <c r="F782" s="488"/>
      <c r="G782" s="488"/>
      <c r="H782" s="488"/>
      <c r="I782" s="488"/>
      <c r="J782" s="488"/>
      <c r="Q782"/>
    </row>
    <row r="783" spans="1:17" ht="15">
      <c r="A783" s="486"/>
      <c r="C783" s="490" t="s">
        <v>272</v>
      </c>
      <c r="D783" s="941">
        <v>10866838.83</v>
      </c>
      <c r="E783" s="4" t="s">
        <v>273</v>
      </c>
      <c r="H783" s="78"/>
      <c r="I783" s="78"/>
      <c r="J783" s="491">
        <f>$J$95</f>
        <v>2025</v>
      </c>
      <c r="K783" s="134"/>
      <c r="L783" s="1305" t="s">
        <v>274</v>
      </c>
      <c r="M783" s="1305"/>
      <c r="N783" s="1305"/>
      <c r="O783" s="1305"/>
      <c r="Q783" s="134"/>
    </row>
    <row r="784" spans="1:17">
      <c r="A784" s="486"/>
      <c r="C784" s="490" t="s">
        <v>275</v>
      </c>
      <c r="D784" s="644">
        <v>2014</v>
      </c>
      <c r="E784" s="490" t="s">
        <v>276</v>
      </c>
      <c r="F784" s="78"/>
      <c r="G784" s="78"/>
      <c r="I784"/>
      <c r="J784" s="647">
        <v>0</v>
      </c>
      <c r="K784" s="492"/>
      <c r="L784" s="469" t="s">
        <v>475</v>
      </c>
      <c r="Q784" s="492"/>
    </row>
    <row r="785" spans="1:17">
      <c r="A785" s="486"/>
      <c r="C785" s="490" t="s">
        <v>277</v>
      </c>
      <c r="D785" s="942">
        <v>9</v>
      </c>
      <c r="E785" s="490" t="s">
        <v>278</v>
      </c>
      <c r="F785" s="78"/>
      <c r="G785" s="78"/>
      <c r="I785"/>
      <c r="J785" s="493">
        <f>$F$70</f>
        <v>0.11017952320434825</v>
      </c>
      <c r="K785" s="80"/>
      <c r="L785" s="4" t="str">
        <f>"          INPUT TRUE-UP ARR (WITH &amp; WITHOUT INCENTIVES) FROM EACH PRIOR YEAR"</f>
        <v xml:space="preserve">          INPUT TRUE-UP ARR (WITH &amp; WITHOUT INCENTIVES) FROM EACH PRIOR YEAR</v>
      </c>
      <c r="Q785" s="80"/>
    </row>
    <row r="786" spans="1:17">
      <c r="A786" s="486"/>
      <c r="C786" s="490" t="s">
        <v>279</v>
      </c>
      <c r="D786" s="494">
        <f>H79</f>
        <v>42</v>
      </c>
      <c r="E786" s="490" t="s">
        <v>280</v>
      </c>
      <c r="F786" s="78"/>
      <c r="G786" s="78"/>
      <c r="I786"/>
      <c r="J786" s="493">
        <f>IF(H777="",J785,$F$69)</f>
        <v>0.11017952320434825</v>
      </c>
      <c r="K786" s="80"/>
      <c r="L786" s="4" t="s">
        <v>362</v>
      </c>
      <c r="M786" s="80"/>
      <c r="N786" s="80"/>
      <c r="O786" s="80"/>
      <c r="Q786" s="80"/>
    </row>
    <row r="787" spans="1:17" ht="13.5" thickBot="1">
      <c r="A787" s="486"/>
      <c r="C787" s="490" t="s">
        <v>281</v>
      </c>
      <c r="D787" s="646" t="s">
        <v>929</v>
      </c>
      <c r="E787" s="495" t="s">
        <v>282</v>
      </c>
      <c r="F787" s="496"/>
      <c r="G787" s="496"/>
      <c r="H787" s="497"/>
      <c r="I787" s="497"/>
      <c r="J787" s="482">
        <f>IF(D783=0,0,D783/D786)</f>
        <v>258734.25785714286</v>
      </c>
      <c r="K787" s="469"/>
      <c r="L787" s="469" t="s">
        <v>363</v>
      </c>
      <c r="M787" s="469"/>
      <c r="N787" s="469"/>
      <c r="O787" s="469"/>
      <c r="Q787" s="469"/>
    </row>
    <row r="788" spans="1:17" ht="38.25">
      <c r="A788" s="12"/>
      <c r="B788" s="12"/>
      <c r="C788" s="498" t="s">
        <v>272</v>
      </c>
      <c r="D788" s="499" t="s">
        <v>283</v>
      </c>
      <c r="E788" s="500" t="s">
        <v>284</v>
      </c>
      <c r="F788" s="499" t="s">
        <v>285</v>
      </c>
      <c r="G788" s="499" t="s">
        <v>458</v>
      </c>
      <c r="H788" s="500" t="s">
        <v>356</v>
      </c>
      <c r="I788" s="501" t="s">
        <v>356</v>
      </c>
      <c r="J788" s="498" t="s">
        <v>295</v>
      </c>
      <c r="K788" s="502"/>
      <c r="L788" s="500" t="s">
        <v>358</v>
      </c>
      <c r="M788" s="500" t="s">
        <v>364</v>
      </c>
      <c r="N788" s="500" t="s">
        <v>358</v>
      </c>
      <c r="O788" s="500" t="s">
        <v>366</v>
      </c>
      <c r="P788" s="500" t="s">
        <v>286</v>
      </c>
      <c r="Q788" s="127"/>
    </row>
    <row r="789" spans="1:17" ht="13.5" thickBot="1">
      <c r="C789" s="503" t="s">
        <v>177</v>
      </c>
      <c r="D789" s="504" t="s">
        <v>178</v>
      </c>
      <c r="E789" s="503" t="s">
        <v>37</v>
      </c>
      <c r="F789" s="504" t="s">
        <v>178</v>
      </c>
      <c r="G789" s="504" t="s">
        <v>178</v>
      </c>
      <c r="H789" s="505" t="s">
        <v>298</v>
      </c>
      <c r="I789" s="506" t="s">
        <v>300</v>
      </c>
      <c r="J789" s="503" t="s">
        <v>389</v>
      </c>
      <c r="K789" s="507"/>
      <c r="L789" s="505" t="s">
        <v>287</v>
      </c>
      <c r="M789" s="505" t="s">
        <v>287</v>
      </c>
      <c r="N789" s="505" t="s">
        <v>467</v>
      </c>
      <c r="O789" s="505" t="s">
        <v>467</v>
      </c>
      <c r="P789" s="505" t="s">
        <v>467</v>
      </c>
      <c r="Q789" s="134"/>
    </row>
    <row r="790" spans="1:17">
      <c r="C790" s="508">
        <f>IF(D784= "","-",D784)</f>
        <v>2014</v>
      </c>
      <c r="D790" s="471">
        <f>D783</f>
        <v>10866838.83</v>
      </c>
      <c r="E790" s="509">
        <f>+J787/12*(12-D785)</f>
        <v>64683.564464285715</v>
      </c>
      <c r="F790" s="553">
        <f t="shared" ref="F790:F849" si="72">+D790-E790</f>
        <v>10802155.265535714</v>
      </c>
      <c r="G790" s="471">
        <f t="shared" ref="G790:G849" si="73">+(D790+F790)/2</f>
        <v>10834497.047767857</v>
      </c>
      <c r="H790" s="510">
        <f>+J785*G790+E790</f>
        <v>1258423.283346267</v>
      </c>
      <c r="I790" s="511">
        <f>+J786*G790+E790</f>
        <v>1258423.283346267</v>
      </c>
      <c r="J790" s="512">
        <f t="shared" ref="J790:J849" si="74">+I790-H790</f>
        <v>0</v>
      </c>
      <c r="K790" s="512"/>
      <c r="L790" s="513">
        <v>9.9999999999999995E-7</v>
      </c>
      <c r="M790" s="554">
        <f t="shared" ref="M790:M849" si="75">IF(L790&lt;&gt;0,+H790-L790,0)</f>
        <v>1258423.2833452669</v>
      </c>
      <c r="N790" s="513">
        <v>9.9999999999999995E-7</v>
      </c>
      <c r="O790" s="554">
        <f t="shared" ref="O790:O849" si="76">IF(N790&lt;&gt;0,+I790-N790,0)</f>
        <v>1258423.2833452669</v>
      </c>
      <c r="P790" s="554">
        <f t="shared" ref="P790:P849" si="77">+O790-M790</f>
        <v>0</v>
      </c>
      <c r="Q790" s="473"/>
    </row>
    <row r="791" spans="1:17">
      <c r="C791" s="508">
        <f>IF(D784="","-",+C790+1)</f>
        <v>2015</v>
      </c>
      <c r="D791" s="471">
        <f t="shared" ref="D791:D849" si="78">F790</f>
        <v>10802155.265535714</v>
      </c>
      <c r="E791" s="515">
        <f>IF(D791&gt;$J$787,$J$787,D791)</f>
        <v>258734.25785714286</v>
      </c>
      <c r="F791" s="515">
        <f t="shared" si="72"/>
        <v>10543421.007678572</v>
      </c>
      <c r="G791" s="471">
        <f t="shared" si="73"/>
        <v>10672788.136607144</v>
      </c>
      <c r="H791" s="509">
        <f>+J785*G791+E791</f>
        <v>1434656.9660095426</v>
      </c>
      <c r="I791" s="516">
        <f>+J786*G791+E791</f>
        <v>1434656.9660095426</v>
      </c>
      <c r="J791" s="512">
        <f t="shared" si="74"/>
        <v>0</v>
      </c>
      <c r="K791" s="512"/>
      <c r="L791" s="517">
        <v>9.9999999999999995E-7</v>
      </c>
      <c r="M791" s="512">
        <f t="shared" si="75"/>
        <v>1434656.9660085426</v>
      </c>
      <c r="N791" s="517">
        <v>9.9999999999999995E-7</v>
      </c>
      <c r="O791" s="512">
        <f t="shared" si="76"/>
        <v>1434656.9660085426</v>
      </c>
      <c r="P791" s="512">
        <f t="shared" si="77"/>
        <v>0</v>
      </c>
      <c r="Q791" s="473"/>
    </row>
    <row r="792" spans="1:17">
      <c r="C792" s="508">
        <f>IF(D784="","-",+C791+1)</f>
        <v>2016</v>
      </c>
      <c r="D792" s="955">
        <f t="shared" si="78"/>
        <v>10543421.007678572</v>
      </c>
      <c r="E792" s="515">
        <f t="shared" ref="E792:E849" si="79">IF(D792&gt;$J$787,$J$787,D792)</f>
        <v>258734.25785714286</v>
      </c>
      <c r="F792" s="515">
        <f t="shared" si="72"/>
        <v>10284686.74982143</v>
      </c>
      <c r="G792" s="471">
        <f t="shared" si="73"/>
        <v>10414053.87875</v>
      </c>
      <c r="H792" s="509">
        <f>+J785*G792+E792</f>
        <v>1406149.7488422114</v>
      </c>
      <c r="I792" s="516">
        <f>+J786*G792+E792</f>
        <v>1406149.7488422114</v>
      </c>
      <c r="J792" s="512">
        <f t="shared" si="74"/>
        <v>0</v>
      </c>
      <c r="K792" s="512"/>
      <c r="L792" s="517">
        <v>1117</v>
      </c>
      <c r="M792" s="512">
        <f t="shared" si="75"/>
        <v>1405032.7488422114</v>
      </c>
      <c r="N792" s="517">
        <v>1117</v>
      </c>
      <c r="O792" s="512">
        <f t="shared" si="76"/>
        <v>1405032.7488422114</v>
      </c>
      <c r="P792" s="512">
        <f t="shared" si="77"/>
        <v>0</v>
      </c>
      <c r="Q792" s="473"/>
    </row>
    <row r="793" spans="1:17">
      <c r="C793" s="508">
        <f>IF(D784="","-",+C792+1)</f>
        <v>2017</v>
      </c>
      <c r="D793" s="955">
        <f t="shared" si="78"/>
        <v>10284686.74982143</v>
      </c>
      <c r="E793" s="515">
        <f t="shared" si="79"/>
        <v>258734.25785714286</v>
      </c>
      <c r="F793" s="515">
        <f t="shared" si="72"/>
        <v>10025952.491964288</v>
      </c>
      <c r="G793" s="471">
        <f t="shared" si="73"/>
        <v>10155319.62089286</v>
      </c>
      <c r="H793" s="509">
        <f>+J785*G793+E793</f>
        <v>1377642.5316748808</v>
      </c>
      <c r="I793" s="516">
        <f>+J786*G793+E793</f>
        <v>1377642.5316748808</v>
      </c>
      <c r="J793" s="512">
        <f t="shared" si="74"/>
        <v>0</v>
      </c>
      <c r="K793" s="512"/>
      <c r="L793" s="517">
        <v>57580</v>
      </c>
      <c r="M793" s="512">
        <f t="shared" si="75"/>
        <v>1320062.5316748808</v>
      </c>
      <c r="N793" s="517">
        <v>57580</v>
      </c>
      <c r="O793" s="512">
        <f t="shared" si="76"/>
        <v>1320062.5316748808</v>
      </c>
      <c r="P793" s="512">
        <f t="shared" si="77"/>
        <v>0</v>
      </c>
      <c r="Q793" s="473"/>
    </row>
    <row r="794" spans="1:17">
      <c r="C794" s="508">
        <f>IF(D784="","-",+C793+1)</f>
        <v>2018</v>
      </c>
      <c r="D794" s="471">
        <f t="shared" si="78"/>
        <v>10025952.491964288</v>
      </c>
      <c r="E794" s="515">
        <f t="shared" si="79"/>
        <v>258734.25785714286</v>
      </c>
      <c r="F794" s="515">
        <f t="shared" si="72"/>
        <v>9767218.234107146</v>
      </c>
      <c r="G794" s="471">
        <f t="shared" si="73"/>
        <v>9896585.3630357161</v>
      </c>
      <c r="H794" s="509">
        <f>+J785*G794+E794</f>
        <v>1349135.3145075499</v>
      </c>
      <c r="I794" s="516">
        <f>+J786*G794+E794</f>
        <v>1349135.3145075499</v>
      </c>
      <c r="J794" s="512">
        <f t="shared" si="74"/>
        <v>0</v>
      </c>
      <c r="K794" s="512"/>
      <c r="L794" s="517">
        <v>54331</v>
      </c>
      <c r="M794" s="512">
        <f t="shared" si="75"/>
        <v>1294804.3145075499</v>
      </c>
      <c r="N794" s="517">
        <v>54331</v>
      </c>
      <c r="O794" s="512">
        <f t="shared" si="76"/>
        <v>1294804.3145075499</v>
      </c>
      <c r="P794" s="512">
        <f t="shared" si="77"/>
        <v>0</v>
      </c>
      <c r="Q794" s="473"/>
    </row>
    <row r="795" spans="1:17">
      <c r="C795" s="508">
        <f>IF(D784="","-",+C794+1)</f>
        <v>2019</v>
      </c>
      <c r="D795" s="471">
        <f t="shared" si="78"/>
        <v>9767218.234107146</v>
      </c>
      <c r="E795" s="515">
        <f t="shared" si="79"/>
        <v>258734.25785714286</v>
      </c>
      <c r="F795" s="515">
        <f t="shared" si="72"/>
        <v>9508483.976250004</v>
      </c>
      <c r="G795" s="471">
        <f t="shared" si="73"/>
        <v>9637851.105178576</v>
      </c>
      <c r="H795" s="509">
        <f>+J785*G795+E795</f>
        <v>1320628.0973402192</v>
      </c>
      <c r="I795" s="516">
        <f>+J786*G795+E795</f>
        <v>1320628.0973402192</v>
      </c>
      <c r="J795" s="512">
        <f t="shared" si="74"/>
        <v>0</v>
      </c>
      <c r="K795" s="512"/>
      <c r="L795" s="517">
        <v>52090</v>
      </c>
      <c r="M795" s="512">
        <f t="shared" si="75"/>
        <v>1268538.0973402192</v>
      </c>
      <c r="N795" s="517">
        <v>52090</v>
      </c>
      <c r="O795" s="512">
        <f t="shared" si="76"/>
        <v>1268538.0973402192</v>
      </c>
      <c r="P795" s="512">
        <f t="shared" si="77"/>
        <v>0</v>
      </c>
      <c r="Q795" s="473"/>
    </row>
    <row r="796" spans="1:17">
      <c r="C796" s="508">
        <f>IF(D784="","-",+C795+1)</f>
        <v>2020</v>
      </c>
      <c r="D796" s="471">
        <f t="shared" si="78"/>
        <v>9508483.976250004</v>
      </c>
      <c r="E796" s="515">
        <f t="shared" si="79"/>
        <v>258734.25785714286</v>
      </c>
      <c r="F796" s="515">
        <f t="shared" si="72"/>
        <v>9249749.718392862</v>
      </c>
      <c r="G796" s="471">
        <f t="shared" si="73"/>
        <v>9379116.8473214321</v>
      </c>
      <c r="H796" s="509">
        <f>+J785*G796+E796</f>
        <v>1292120.8801728883</v>
      </c>
      <c r="I796" s="516">
        <f>+J786*G796+E796</f>
        <v>1292120.8801728883</v>
      </c>
      <c r="J796" s="512">
        <f t="shared" si="74"/>
        <v>0</v>
      </c>
      <c r="K796" s="512"/>
      <c r="L796" s="517">
        <v>82533.189311498267</v>
      </c>
      <c r="M796" s="512">
        <f t="shared" si="75"/>
        <v>1209587.69086139</v>
      </c>
      <c r="N796" s="517">
        <v>82533.189311498267</v>
      </c>
      <c r="O796" s="512">
        <f t="shared" si="76"/>
        <v>1209587.69086139</v>
      </c>
      <c r="P796" s="512">
        <f t="shared" si="77"/>
        <v>0</v>
      </c>
      <c r="Q796" s="473"/>
    </row>
    <row r="797" spans="1:17">
      <c r="C797" s="508">
        <f>IF(D784="","-",+C796+1)</f>
        <v>2021</v>
      </c>
      <c r="D797" s="471">
        <f t="shared" si="78"/>
        <v>9249749.718392862</v>
      </c>
      <c r="E797" s="515">
        <f t="shared" si="79"/>
        <v>258734.25785714286</v>
      </c>
      <c r="F797" s="515">
        <f t="shared" si="72"/>
        <v>8991015.46053572</v>
      </c>
      <c r="G797" s="471">
        <f t="shared" si="73"/>
        <v>9120382.5894642919</v>
      </c>
      <c r="H797" s="509">
        <f>+J785*G797+E797</f>
        <v>1263613.6630055576</v>
      </c>
      <c r="I797" s="516">
        <f>+J786*G797+E797</f>
        <v>1263613.6630055576</v>
      </c>
      <c r="J797" s="512">
        <f t="shared" si="74"/>
        <v>0</v>
      </c>
      <c r="K797" s="512"/>
      <c r="L797" s="517">
        <v>715550.06057471025</v>
      </c>
      <c r="M797" s="512">
        <f t="shared" si="75"/>
        <v>548063.60243084736</v>
      </c>
      <c r="N797" s="517">
        <v>715550.06057471025</v>
      </c>
      <c r="O797" s="512">
        <f t="shared" si="76"/>
        <v>548063.60243084736</v>
      </c>
      <c r="P797" s="512">
        <f t="shared" si="77"/>
        <v>0</v>
      </c>
      <c r="Q797" s="473"/>
    </row>
    <row r="798" spans="1:17">
      <c r="C798" s="508">
        <f>IF(D784="","-",+C797+1)</f>
        <v>2022</v>
      </c>
      <c r="D798" s="471">
        <f t="shared" si="78"/>
        <v>8991015.46053572</v>
      </c>
      <c r="E798" s="515">
        <f t="shared" si="79"/>
        <v>258734.25785714286</v>
      </c>
      <c r="F798" s="515">
        <f t="shared" si="72"/>
        <v>8732281.202678578</v>
      </c>
      <c r="G798" s="471">
        <f t="shared" si="73"/>
        <v>8861648.3316071481</v>
      </c>
      <c r="H798" s="509">
        <f>+J785*G798+E798</f>
        <v>1235106.4458382267</v>
      </c>
      <c r="I798" s="516">
        <f>+J786*G798+E798</f>
        <v>1235106.4458382267</v>
      </c>
      <c r="J798" s="512">
        <f t="shared" si="74"/>
        <v>0</v>
      </c>
      <c r="K798" s="512"/>
      <c r="L798" s="517">
        <v>747962.9522512171</v>
      </c>
      <c r="M798" s="512">
        <f t="shared" si="75"/>
        <v>487143.49358700961</v>
      </c>
      <c r="N798" s="517">
        <v>747962.9522512171</v>
      </c>
      <c r="O798" s="512">
        <f t="shared" si="76"/>
        <v>487143.49358700961</v>
      </c>
      <c r="P798" s="512">
        <f t="shared" si="77"/>
        <v>0</v>
      </c>
      <c r="Q798" s="473"/>
    </row>
    <row r="799" spans="1:17">
      <c r="C799" s="508">
        <f>IF(D784="","-",+C798+1)</f>
        <v>2023</v>
      </c>
      <c r="D799" s="471">
        <f t="shared" si="78"/>
        <v>8732281.202678578</v>
      </c>
      <c r="E799" s="515">
        <f t="shared" si="79"/>
        <v>258734.25785714286</v>
      </c>
      <c r="F799" s="515">
        <f t="shared" si="72"/>
        <v>8473546.944821436</v>
      </c>
      <c r="G799" s="471">
        <f t="shared" si="73"/>
        <v>8602914.0737500079</v>
      </c>
      <c r="H799" s="509">
        <f>+J785*G799+E799</f>
        <v>1206599.228670896</v>
      </c>
      <c r="I799" s="516">
        <f>+J786*G799+E799</f>
        <v>1206599.228670896</v>
      </c>
      <c r="J799" s="512">
        <f t="shared" si="74"/>
        <v>0</v>
      </c>
      <c r="K799" s="512"/>
      <c r="L799" s="517">
        <v>780743.77307412028</v>
      </c>
      <c r="M799" s="512">
        <f t="shared" si="75"/>
        <v>425855.45559677575</v>
      </c>
      <c r="N799" s="517">
        <v>780743.77307412028</v>
      </c>
      <c r="O799" s="512">
        <f t="shared" si="76"/>
        <v>425855.45559677575</v>
      </c>
      <c r="P799" s="512">
        <f t="shared" si="77"/>
        <v>0</v>
      </c>
      <c r="Q799" s="473"/>
    </row>
    <row r="800" spans="1:17">
      <c r="C800" s="508">
        <f>IF(D784="","-",+C799+1)</f>
        <v>2024</v>
      </c>
      <c r="D800" s="471">
        <f t="shared" si="78"/>
        <v>8473546.944821436</v>
      </c>
      <c r="E800" s="515">
        <f t="shared" si="79"/>
        <v>258734.25785714286</v>
      </c>
      <c r="F800" s="515">
        <f t="shared" si="72"/>
        <v>8214812.686964293</v>
      </c>
      <c r="G800" s="471">
        <f t="shared" si="73"/>
        <v>8344179.815892864</v>
      </c>
      <c r="H800" s="509">
        <f>+J785*G800+E800</f>
        <v>1178092.0115035649</v>
      </c>
      <c r="I800" s="516">
        <f>+J786*G800+E800</f>
        <v>1178092.0115035649</v>
      </c>
      <c r="J800" s="512">
        <f t="shared" si="74"/>
        <v>0</v>
      </c>
      <c r="K800" s="512"/>
      <c r="L800" s="517">
        <v>1176798.8147574321</v>
      </c>
      <c r="M800" s="512">
        <f t="shared" si="75"/>
        <v>1293.1967461328022</v>
      </c>
      <c r="N800" s="517">
        <v>1176798.8147574321</v>
      </c>
      <c r="O800" s="512">
        <f t="shared" si="76"/>
        <v>1293.1967461328022</v>
      </c>
      <c r="P800" s="512">
        <f t="shared" si="77"/>
        <v>0</v>
      </c>
      <c r="Q800" s="473"/>
    </row>
    <row r="801" spans="3:17">
      <c r="C801" s="508">
        <f>IF(D784="","-",+C800+1)</f>
        <v>2025</v>
      </c>
      <c r="D801" s="471">
        <f t="shared" si="78"/>
        <v>8214812.686964293</v>
      </c>
      <c r="E801" s="515">
        <f t="shared" si="79"/>
        <v>258734.25785714286</v>
      </c>
      <c r="F801" s="515">
        <f t="shared" si="72"/>
        <v>7956078.4291071501</v>
      </c>
      <c r="G801" s="471">
        <f t="shared" si="73"/>
        <v>8085445.558035722</v>
      </c>
      <c r="H801" s="509">
        <f>+J785*G801+E801</f>
        <v>1149584.7943362342</v>
      </c>
      <c r="I801" s="516">
        <f>+J786*G801+E801</f>
        <v>1149584.7943362342</v>
      </c>
      <c r="J801" s="512">
        <f t="shared" si="74"/>
        <v>0</v>
      </c>
      <c r="K801" s="512"/>
      <c r="L801" s="517">
        <v>1151464.1654140486</v>
      </c>
      <c r="M801" s="512">
        <f t="shared" si="75"/>
        <v>-1879.3710778143723</v>
      </c>
      <c r="N801" s="517">
        <v>1151464.1654140486</v>
      </c>
      <c r="O801" s="512">
        <f t="shared" si="76"/>
        <v>-1879.3710778143723</v>
      </c>
      <c r="P801" s="512">
        <f t="shared" si="77"/>
        <v>0</v>
      </c>
      <c r="Q801" s="473"/>
    </row>
    <row r="802" spans="3:17">
      <c r="C802" s="508">
        <f>IF(D784="","-",+C801+1)</f>
        <v>2026</v>
      </c>
      <c r="D802" s="471">
        <f t="shared" si="78"/>
        <v>7956078.4291071501</v>
      </c>
      <c r="E802" s="515">
        <f t="shared" si="79"/>
        <v>258734.25785714286</v>
      </c>
      <c r="F802" s="515">
        <f t="shared" si="72"/>
        <v>7697344.1712500071</v>
      </c>
      <c r="G802" s="471">
        <f t="shared" si="73"/>
        <v>7826711.3001785781</v>
      </c>
      <c r="H802" s="509">
        <f>+J785*G802+E802</f>
        <v>1121077.5771689031</v>
      </c>
      <c r="I802" s="516">
        <f>+J786*G802+E802</f>
        <v>1121077.5771689031</v>
      </c>
      <c r="J802" s="512">
        <f t="shared" si="74"/>
        <v>0</v>
      </c>
      <c r="K802" s="512"/>
      <c r="L802" s="517"/>
      <c r="M802" s="512">
        <f t="shared" si="75"/>
        <v>0</v>
      </c>
      <c r="N802" s="517"/>
      <c r="O802" s="512">
        <f t="shared" si="76"/>
        <v>0</v>
      </c>
      <c r="P802" s="512">
        <f t="shared" si="77"/>
        <v>0</v>
      </c>
      <c r="Q802" s="473"/>
    </row>
    <row r="803" spans="3:17">
      <c r="C803" s="508">
        <f>IF(D784="","-",+C802+1)</f>
        <v>2027</v>
      </c>
      <c r="D803" s="471">
        <f t="shared" si="78"/>
        <v>7697344.1712500071</v>
      </c>
      <c r="E803" s="515">
        <f t="shared" si="79"/>
        <v>258734.25785714286</v>
      </c>
      <c r="F803" s="515">
        <f t="shared" si="72"/>
        <v>7438609.9133928642</v>
      </c>
      <c r="G803" s="471">
        <f t="shared" si="73"/>
        <v>7567977.0423214361</v>
      </c>
      <c r="H803" s="509">
        <f>+J785*G803+E803</f>
        <v>1092570.3600015724</v>
      </c>
      <c r="I803" s="516">
        <f>+J786*G803+E803</f>
        <v>1092570.3600015724</v>
      </c>
      <c r="J803" s="512">
        <f t="shared" si="74"/>
        <v>0</v>
      </c>
      <c r="K803" s="512"/>
      <c r="L803" s="517"/>
      <c r="M803" s="512">
        <f t="shared" si="75"/>
        <v>0</v>
      </c>
      <c r="N803" s="517"/>
      <c r="O803" s="512">
        <f t="shared" si="76"/>
        <v>0</v>
      </c>
      <c r="P803" s="512">
        <f t="shared" si="77"/>
        <v>0</v>
      </c>
      <c r="Q803" s="473"/>
    </row>
    <row r="804" spans="3:17">
      <c r="C804" s="508">
        <f>IF(D784="","-",+C803+1)</f>
        <v>2028</v>
      </c>
      <c r="D804" s="471">
        <f t="shared" si="78"/>
        <v>7438609.9133928642</v>
      </c>
      <c r="E804" s="515">
        <f t="shared" si="79"/>
        <v>258734.25785714286</v>
      </c>
      <c r="F804" s="515">
        <f t="shared" si="72"/>
        <v>7179875.6555357212</v>
      </c>
      <c r="G804" s="471">
        <f t="shared" si="73"/>
        <v>7309242.7844642922</v>
      </c>
      <c r="H804" s="509">
        <f>+J785*G804+E804</f>
        <v>1064063.1428342413</v>
      </c>
      <c r="I804" s="516">
        <f>+J786*G804+E804</f>
        <v>1064063.1428342413</v>
      </c>
      <c r="J804" s="512">
        <f t="shared" si="74"/>
        <v>0</v>
      </c>
      <c r="K804" s="512"/>
      <c r="L804" s="517"/>
      <c r="M804" s="512">
        <f t="shared" si="75"/>
        <v>0</v>
      </c>
      <c r="N804" s="517"/>
      <c r="O804" s="512">
        <f t="shared" si="76"/>
        <v>0</v>
      </c>
      <c r="P804" s="512">
        <f t="shared" si="77"/>
        <v>0</v>
      </c>
      <c r="Q804" s="473"/>
    </row>
    <row r="805" spans="3:17">
      <c r="C805" s="508">
        <f>IF(D784="","-",+C804+1)</f>
        <v>2029</v>
      </c>
      <c r="D805" s="471">
        <f t="shared" si="78"/>
        <v>7179875.6555357212</v>
      </c>
      <c r="E805" s="515">
        <f t="shared" si="79"/>
        <v>258734.25785714286</v>
      </c>
      <c r="F805" s="515">
        <f t="shared" si="72"/>
        <v>6921141.3976785783</v>
      </c>
      <c r="G805" s="471">
        <f t="shared" si="73"/>
        <v>7050508.5266071502</v>
      </c>
      <c r="H805" s="509">
        <f>+J785*G805+E805</f>
        <v>1035555.9256669105</v>
      </c>
      <c r="I805" s="516">
        <f>+J786*G805+E805</f>
        <v>1035555.9256669105</v>
      </c>
      <c r="J805" s="512">
        <f t="shared" si="74"/>
        <v>0</v>
      </c>
      <c r="K805" s="512"/>
      <c r="L805" s="517"/>
      <c r="M805" s="512">
        <f t="shared" si="75"/>
        <v>0</v>
      </c>
      <c r="N805" s="517"/>
      <c r="O805" s="512">
        <f t="shared" si="76"/>
        <v>0</v>
      </c>
      <c r="P805" s="512">
        <f t="shared" si="77"/>
        <v>0</v>
      </c>
      <c r="Q805" s="473"/>
    </row>
    <row r="806" spans="3:17">
      <c r="C806" s="508">
        <f>IF(D784="","-",+C805+1)</f>
        <v>2030</v>
      </c>
      <c r="D806" s="471">
        <f t="shared" si="78"/>
        <v>6921141.3976785783</v>
      </c>
      <c r="E806" s="515">
        <f t="shared" si="79"/>
        <v>258734.25785714286</v>
      </c>
      <c r="F806" s="515">
        <f t="shared" si="72"/>
        <v>6662407.1398214353</v>
      </c>
      <c r="G806" s="471">
        <f t="shared" si="73"/>
        <v>6791774.2687500063</v>
      </c>
      <c r="H806" s="509">
        <f>+J785*G806+E806</f>
        <v>1007048.7084995795</v>
      </c>
      <c r="I806" s="516">
        <f>+J786*G806+E806</f>
        <v>1007048.7084995795</v>
      </c>
      <c r="J806" s="512">
        <f t="shared" si="74"/>
        <v>0</v>
      </c>
      <c r="K806" s="512"/>
      <c r="L806" s="517"/>
      <c r="M806" s="512">
        <f t="shared" si="75"/>
        <v>0</v>
      </c>
      <c r="N806" s="517"/>
      <c r="O806" s="512">
        <f t="shared" si="76"/>
        <v>0</v>
      </c>
      <c r="P806" s="512">
        <f t="shared" si="77"/>
        <v>0</v>
      </c>
      <c r="Q806" s="473"/>
    </row>
    <row r="807" spans="3:17">
      <c r="C807" s="508">
        <f>IF(D784="","-",+C806+1)</f>
        <v>2031</v>
      </c>
      <c r="D807" s="471">
        <f t="shared" si="78"/>
        <v>6662407.1398214353</v>
      </c>
      <c r="E807" s="515">
        <f t="shared" si="79"/>
        <v>258734.25785714286</v>
      </c>
      <c r="F807" s="515">
        <f t="shared" si="72"/>
        <v>6403672.8819642924</v>
      </c>
      <c r="G807" s="471">
        <f t="shared" si="73"/>
        <v>6533040.0108928643</v>
      </c>
      <c r="H807" s="509">
        <f>+J785*G807+E807</f>
        <v>978541.49133224867</v>
      </c>
      <c r="I807" s="516">
        <f>+J786*G807+E807</f>
        <v>978541.49133224867</v>
      </c>
      <c r="J807" s="512">
        <f t="shared" si="74"/>
        <v>0</v>
      </c>
      <c r="K807" s="512"/>
      <c r="L807" s="517"/>
      <c r="M807" s="512">
        <f t="shared" si="75"/>
        <v>0</v>
      </c>
      <c r="N807" s="517"/>
      <c r="O807" s="512">
        <f t="shared" si="76"/>
        <v>0</v>
      </c>
      <c r="P807" s="512">
        <f t="shared" si="77"/>
        <v>0</v>
      </c>
      <c r="Q807" s="473"/>
    </row>
    <row r="808" spans="3:17">
      <c r="C808" s="508">
        <f>IF(D784="","-",+C807+1)</f>
        <v>2032</v>
      </c>
      <c r="D808" s="471">
        <f t="shared" si="78"/>
        <v>6403672.8819642924</v>
      </c>
      <c r="E808" s="515">
        <f t="shared" si="79"/>
        <v>258734.25785714286</v>
      </c>
      <c r="F808" s="515">
        <f t="shared" si="72"/>
        <v>6144938.6241071494</v>
      </c>
      <c r="G808" s="471">
        <f t="shared" si="73"/>
        <v>6274305.7530357204</v>
      </c>
      <c r="H808" s="509">
        <f>+J785*G808+E808</f>
        <v>950034.27416491765</v>
      </c>
      <c r="I808" s="516">
        <f>+J786*G808+E808</f>
        <v>950034.27416491765</v>
      </c>
      <c r="J808" s="512">
        <f t="shared" si="74"/>
        <v>0</v>
      </c>
      <c r="K808" s="512"/>
      <c r="L808" s="517"/>
      <c r="M808" s="512">
        <f t="shared" si="75"/>
        <v>0</v>
      </c>
      <c r="N808" s="517"/>
      <c r="O808" s="512">
        <f t="shared" si="76"/>
        <v>0</v>
      </c>
      <c r="P808" s="512">
        <f t="shared" si="77"/>
        <v>0</v>
      </c>
      <c r="Q808" s="473"/>
    </row>
    <row r="809" spans="3:17">
      <c r="C809" s="508">
        <f>IF(D784="","-",+C808+1)</f>
        <v>2033</v>
      </c>
      <c r="D809" s="471">
        <f t="shared" si="78"/>
        <v>6144938.6241071494</v>
      </c>
      <c r="E809" s="515">
        <f t="shared" si="79"/>
        <v>258734.25785714286</v>
      </c>
      <c r="F809" s="515">
        <f t="shared" si="72"/>
        <v>5886204.3662500065</v>
      </c>
      <c r="G809" s="471">
        <f t="shared" si="73"/>
        <v>6015571.4951785784</v>
      </c>
      <c r="H809" s="509">
        <f>+J785*G809+E809</f>
        <v>921527.05699758686</v>
      </c>
      <c r="I809" s="516">
        <f>+J786*G809+E809</f>
        <v>921527.05699758686</v>
      </c>
      <c r="J809" s="512">
        <f t="shared" si="74"/>
        <v>0</v>
      </c>
      <c r="K809" s="512"/>
      <c r="L809" s="517"/>
      <c r="M809" s="512">
        <f t="shared" si="75"/>
        <v>0</v>
      </c>
      <c r="N809" s="517"/>
      <c r="O809" s="512">
        <f t="shared" si="76"/>
        <v>0</v>
      </c>
      <c r="P809" s="512">
        <f t="shared" si="77"/>
        <v>0</v>
      </c>
      <c r="Q809" s="473"/>
    </row>
    <row r="810" spans="3:17">
      <c r="C810" s="508">
        <f>IF(D784="","-",+C809+1)</f>
        <v>2034</v>
      </c>
      <c r="D810" s="471">
        <f t="shared" si="78"/>
        <v>5886204.3662500065</v>
      </c>
      <c r="E810" s="515">
        <f t="shared" si="79"/>
        <v>258734.25785714286</v>
      </c>
      <c r="F810" s="515">
        <f t="shared" si="72"/>
        <v>5627470.1083928635</v>
      </c>
      <c r="G810" s="471">
        <f t="shared" si="73"/>
        <v>5756837.2373214345</v>
      </c>
      <c r="H810" s="509">
        <f>+J785*G810+E810</f>
        <v>893019.83983025583</v>
      </c>
      <c r="I810" s="516">
        <f>+J786*G810+E810</f>
        <v>893019.83983025583</v>
      </c>
      <c r="J810" s="512">
        <f t="shared" si="74"/>
        <v>0</v>
      </c>
      <c r="K810" s="512"/>
      <c r="L810" s="517"/>
      <c r="M810" s="512">
        <f t="shared" si="75"/>
        <v>0</v>
      </c>
      <c r="N810" s="517"/>
      <c r="O810" s="512">
        <f t="shared" si="76"/>
        <v>0</v>
      </c>
      <c r="P810" s="512">
        <f t="shared" si="77"/>
        <v>0</v>
      </c>
      <c r="Q810" s="473"/>
    </row>
    <row r="811" spans="3:17">
      <c r="C811" s="508">
        <f>IF(D784="","-",+C810+1)</f>
        <v>2035</v>
      </c>
      <c r="D811" s="471">
        <f t="shared" si="78"/>
        <v>5627470.1083928635</v>
      </c>
      <c r="E811" s="515">
        <f t="shared" si="79"/>
        <v>258734.25785714286</v>
      </c>
      <c r="F811" s="515">
        <f t="shared" si="72"/>
        <v>5368735.8505357206</v>
      </c>
      <c r="G811" s="471">
        <f t="shared" si="73"/>
        <v>5498102.9794642925</v>
      </c>
      <c r="H811" s="509">
        <f>+J785*G811+E811</f>
        <v>864512.62266292505</v>
      </c>
      <c r="I811" s="516">
        <f>+J786*G811+E811</f>
        <v>864512.62266292505</v>
      </c>
      <c r="J811" s="512">
        <f t="shared" si="74"/>
        <v>0</v>
      </c>
      <c r="K811" s="512"/>
      <c r="L811" s="517"/>
      <c r="M811" s="512">
        <f t="shared" si="75"/>
        <v>0</v>
      </c>
      <c r="N811" s="517"/>
      <c r="O811" s="512">
        <f t="shared" si="76"/>
        <v>0</v>
      </c>
      <c r="P811" s="512">
        <f t="shared" si="77"/>
        <v>0</v>
      </c>
      <c r="Q811" s="473"/>
    </row>
    <row r="812" spans="3:17">
      <c r="C812" s="508">
        <f>IF(D784="","-",+C811+1)</f>
        <v>2036</v>
      </c>
      <c r="D812" s="471">
        <f t="shared" si="78"/>
        <v>5368735.8505357206</v>
      </c>
      <c r="E812" s="515">
        <f t="shared" si="79"/>
        <v>258734.25785714286</v>
      </c>
      <c r="F812" s="515">
        <f t="shared" si="72"/>
        <v>5110001.5926785776</v>
      </c>
      <c r="G812" s="471">
        <f t="shared" si="73"/>
        <v>5239368.7216071486</v>
      </c>
      <c r="H812" s="509">
        <f>+J785*G812+E812</f>
        <v>836005.40549559414</v>
      </c>
      <c r="I812" s="516">
        <f>+J786*G812+E812</f>
        <v>836005.40549559414</v>
      </c>
      <c r="J812" s="512">
        <f t="shared" si="74"/>
        <v>0</v>
      </c>
      <c r="K812" s="512"/>
      <c r="L812" s="517"/>
      <c r="M812" s="512">
        <f t="shared" si="75"/>
        <v>0</v>
      </c>
      <c r="N812" s="517"/>
      <c r="O812" s="512">
        <f t="shared" si="76"/>
        <v>0</v>
      </c>
      <c r="P812" s="512">
        <f t="shared" si="77"/>
        <v>0</v>
      </c>
      <c r="Q812" s="473"/>
    </row>
    <row r="813" spans="3:17">
      <c r="C813" s="508">
        <f>IF(D784="","-",+C812+1)</f>
        <v>2037</v>
      </c>
      <c r="D813" s="471">
        <f t="shared" si="78"/>
        <v>5110001.5926785776</v>
      </c>
      <c r="E813" s="515">
        <f t="shared" si="79"/>
        <v>258734.25785714286</v>
      </c>
      <c r="F813" s="515">
        <f t="shared" si="72"/>
        <v>4851267.3348214347</v>
      </c>
      <c r="G813" s="471">
        <f t="shared" si="73"/>
        <v>4980634.4637500066</v>
      </c>
      <c r="H813" s="509">
        <f>+J785*G813+E813</f>
        <v>807498.18832826323</v>
      </c>
      <c r="I813" s="516">
        <f>+J786*G813+E813</f>
        <v>807498.18832826323</v>
      </c>
      <c r="J813" s="512">
        <f t="shared" si="74"/>
        <v>0</v>
      </c>
      <c r="K813" s="512"/>
      <c r="L813" s="517"/>
      <c r="M813" s="512">
        <f t="shared" si="75"/>
        <v>0</v>
      </c>
      <c r="N813" s="517"/>
      <c r="O813" s="512">
        <f t="shared" si="76"/>
        <v>0</v>
      </c>
      <c r="P813" s="512">
        <f t="shared" si="77"/>
        <v>0</v>
      </c>
      <c r="Q813" s="473"/>
    </row>
    <row r="814" spans="3:17">
      <c r="C814" s="508">
        <f>IF(D784="","-",+C813+1)</f>
        <v>2038</v>
      </c>
      <c r="D814" s="471">
        <f t="shared" si="78"/>
        <v>4851267.3348214347</v>
      </c>
      <c r="E814" s="515">
        <f t="shared" si="79"/>
        <v>258734.25785714286</v>
      </c>
      <c r="F814" s="515">
        <f t="shared" si="72"/>
        <v>4592533.0769642917</v>
      </c>
      <c r="G814" s="471">
        <f t="shared" si="73"/>
        <v>4721900.2058928628</v>
      </c>
      <c r="H814" s="509">
        <f>+J785*G814+E814</f>
        <v>778990.97116093233</v>
      </c>
      <c r="I814" s="516">
        <f>+J786*G814+E814</f>
        <v>778990.97116093233</v>
      </c>
      <c r="J814" s="512">
        <f t="shared" si="74"/>
        <v>0</v>
      </c>
      <c r="K814" s="512"/>
      <c r="L814" s="517"/>
      <c r="M814" s="512">
        <f t="shared" si="75"/>
        <v>0</v>
      </c>
      <c r="N814" s="517"/>
      <c r="O814" s="512">
        <f t="shared" si="76"/>
        <v>0</v>
      </c>
      <c r="P814" s="512">
        <f t="shared" si="77"/>
        <v>0</v>
      </c>
      <c r="Q814" s="473"/>
    </row>
    <row r="815" spans="3:17">
      <c r="C815" s="508">
        <f>IF(D784="","-",+C814+1)</f>
        <v>2039</v>
      </c>
      <c r="D815" s="471">
        <f t="shared" si="78"/>
        <v>4592533.0769642917</v>
      </c>
      <c r="E815" s="515">
        <f t="shared" si="79"/>
        <v>258734.25785714286</v>
      </c>
      <c r="F815" s="515">
        <f t="shared" si="72"/>
        <v>4333798.8191071488</v>
      </c>
      <c r="G815" s="471">
        <f t="shared" si="73"/>
        <v>4463165.9480357207</v>
      </c>
      <c r="H815" s="509">
        <f>+J785*G815+E815</f>
        <v>750483.75399360154</v>
      </c>
      <c r="I815" s="516">
        <f>+J786*G815+E815</f>
        <v>750483.75399360154</v>
      </c>
      <c r="J815" s="512">
        <f t="shared" si="74"/>
        <v>0</v>
      </c>
      <c r="K815" s="512"/>
      <c r="L815" s="517"/>
      <c r="M815" s="512">
        <f t="shared" si="75"/>
        <v>0</v>
      </c>
      <c r="N815" s="517"/>
      <c r="O815" s="512">
        <f t="shared" si="76"/>
        <v>0</v>
      </c>
      <c r="P815" s="512">
        <f t="shared" si="77"/>
        <v>0</v>
      </c>
      <c r="Q815" s="473"/>
    </row>
    <row r="816" spans="3:17">
      <c r="C816" s="508">
        <f>IF(D784="","-",+C815+1)</f>
        <v>2040</v>
      </c>
      <c r="D816" s="471">
        <f t="shared" si="78"/>
        <v>4333798.8191071488</v>
      </c>
      <c r="E816" s="515">
        <f t="shared" si="79"/>
        <v>258734.25785714286</v>
      </c>
      <c r="F816" s="515">
        <f t="shared" si="72"/>
        <v>4075064.5612500058</v>
      </c>
      <c r="G816" s="471">
        <f t="shared" si="73"/>
        <v>4204431.6901785769</v>
      </c>
      <c r="H816" s="509">
        <f>+J785*G816+E816</f>
        <v>721976.53682627052</v>
      </c>
      <c r="I816" s="516">
        <f>+J786*G816+E816</f>
        <v>721976.53682627052</v>
      </c>
      <c r="J816" s="512">
        <f t="shared" si="74"/>
        <v>0</v>
      </c>
      <c r="K816" s="512"/>
      <c r="L816" s="517"/>
      <c r="M816" s="512">
        <f t="shared" si="75"/>
        <v>0</v>
      </c>
      <c r="N816" s="517"/>
      <c r="O816" s="512">
        <f t="shared" si="76"/>
        <v>0</v>
      </c>
      <c r="P816" s="512">
        <f t="shared" si="77"/>
        <v>0</v>
      </c>
      <c r="Q816" s="473"/>
    </row>
    <row r="817" spans="3:17">
      <c r="C817" s="508">
        <f>IF(D784="","-",+C816+1)</f>
        <v>2041</v>
      </c>
      <c r="D817" s="471">
        <f t="shared" si="78"/>
        <v>4075064.5612500058</v>
      </c>
      <c r="E817" s="515">
        <f t="shared" si="79"/>
        <v>258734.25785714286</v>
      </c>
      <c r="F817" s="515">
        <f t="shared" si="72"/>
        <v>3816330.3033928629</v>
      </c>
      <c r="G817" s="471">
        <f t="shared" si="73"/>
        <v>3945697.4323214344</v>
      </c>
      <c r="H817" s="509">
        <f>+J785*G817+E817</f>
        <v>693469.31965893961</v>
      </c>
      <c r="I817" s="516">
        <f>+J786*G817+E817</f>
        <v>693469.31965893961</v>
      </c>
      <c r="J817" s="512">
        <f t="shared" si="74"/>
        <v>0</v>
      </c>
      <c r="K817" s="512"/>
      <c r="L817" s="517"/>
      <c r="M817" s="512">
        <f t="shared" si="75"/>
        <v>0</v>
      </c>
      <c r="N817" s="517"/>
      <c r="O817" s="512">
        <f t="shared" si="76"/>
        <v>0</v>
      </c>
      <c r="P817" s="512">
        <f t="shared" si="77"/>
        <v>0</v>
      </c>
      <c r="Q817" s="473"/>
    </row>
    <row r="818" spans="3:17">
      <c r="C818" s="508">
        <f>IF(D784="","-",+C817+1)</f>
        <v>2042</v>
      </c>
      <c r="D818" s="471">
        <f t="shared" si="78"/>
        <v>3816330.3033928629</v>
      </c>
      <c r="E818" s="515">
        <f t="shared" si="79"/>
        <v>258734.25785714286</v>
      </c>
      <c r="F818" s="515">
        <f t="shared" si="72"/>
        <v>3557596.04553572</v>
      </c>
      <c r="G818" s="471">
        <f t="shared" si="73"/>
        <v>3686963.1744642914</v>
      </c>
      <c r="H818" s="509">
        <f>+J785*G818+E818</f>
        <v>664962.1024916087</v>
      </c>
      <c r="I818" s="516">
        <f>+J786*G818+E818</f>
        <v>664962.1024916087</v>
      </c>
      <c r="J818" s="512">
        <f t="shared" si="74"/>
        <v>0</v>
      </c>
      <c r="K818" s="512"/>
      <c r="L818" s="517"/>
      <c r="M818" s="512">
        <f t="shared" si="75"/>
        <v>0</v>
      </c>
      <c r="N818" s="517"/>
      <c r="O818" s="512">
        <f t="shared" si="76"/>
        <v>0</v>
      </c>
      <c r="P818" s="512">
        <f t="shared" si="77"/>
        <v>0</v>
      </c>
      <c r="Q818" s="473"/>
    </row>
    <row r="819" spans="3:17">
      <c r="C819" s="508">
        <f>IF(D784="","-",+C818+1)</f>
        <v>2043</v>
      </c>
      <c r="D819" s="471">
        <f t="shared" si="78"/>
        <v>3557596.04553572</v>
      </c>
      <c r="E819" s="515">
        <f t="shared" si="79"/>
        <v>258734.25785714286</v>
      </c>
      <c r="F819" s="515">
        <f t="shared" si="72"/>
        <v>3298861.787678577</v>
      </c>
      <c r="G819" s="471">
        <f t="shared" si="73"/>
        <v>3428228.9166071485</v>
      </c>
      <c r="H819" s="509">
        <f>+J785*G819+E819</f>
        <v>636454.8853242778</v>
      </c>
      <c r="I819" s="516">
        <f>+J786*G819+E819</f>
        <v>636454.8853242778</v>
      </c>
      <c r="J819" s="512">
        <f t="shared" si="74"/>
        <v>0</v>
      </c>
      <c r="K819" s="512"/>
      <c r="L819" s="517"/>
      <c r="M819" s="512">
        <f t="shared" si="75"/>
        <v>0</v>
      </c>
      <c r="N819" s="517"/>
      <c r="O819" s="512">
        <f t="shared" si="76"/>
        <v>0</v>
      </c>
      <c r="P819" s="512">
        <f t="shared" si="77"/>
        <v>0</v>
      </c>
      <c r="Q819" s="473"/>
    </row>
    <row r="820" spans="3:17">
      <c r="C820" s="508">
        <f>IF(D784="","-",+C819+1)</f>
        <v>2044</v>
      </c>
      <c r="D820" s="471">
        <f t="shared" si="78"/>
        <v>3298861.787678577</v>
      </c>
      <c r="E820" s="515">
        <f t="shared" si="79"/>
        <v>258734.25785714286</v>
      </c>
      <c r="F820" s="515">
        <f t="shared" si="72"/>
        <v>3040127.5298214341</v>
      </c>
      <c r="G820" s="471">
        <f t="shared" si="73"/>
        <v>3169494.6587500055</v>
      </c>
      <c r="H820" s="509">
        <f>+J785*G820+E820</f>
        <v>607947.66815694689</v>
      </c>
      <c r="I820" s="516">
        <f>+J786*G820+E820</f>
        <v>607947.66815694689</v>
      </c>
      <c r="J820" s="512">
        <f t="shared" si="74"/>
        <v>0</v>
      </c>
      <c r="K820" s="512"/>
      <c r="L820" s="517"/>
      <c r="M820" s="512">
        <f t="shared" si="75"/>
        <v>0</v>
      </c>
      <c r="N820" s="517"/>
      <c r="O820" s="512">
        <f t="shared" si="76"/>
        <v>0</v>
      </c>
      <c r="P820" s="512">
        <f t="shared" si="77"/>
        <v>0</v>
      </c>
      <c r="Q820" s="473"/>
    </row>
    <row r="821" spans="3:17">
      <c r="C821" s="508">
        <f>IF(D784="","-",+C820+1)</f>
        <v>2045</v>
      </c>
      <c r="D821" s="471">
        <f t="shared" si="78"/>
        <v>3040127.5298214341</v>
      </c>
      <c r="E821" s="515">
        <f t="shared" si="79"/>
        <v>258734.25785714286</v>
      </c>
      <c r="F821" s="515">
        <f t="shared" si="72"/>
        <v>2781393.2719642911</v>
      </c>
      <c r="G821" s="471">
        <f t="shared" si="73"/>
        <v>2910760.4008928626</v>
      </c>
      <c r="H821" s="509">
        <f>+J785*G821+E821</f>
        <v>579440.45098961599</v>
      </c>
      <c r="I821" s="516">
        <f>+J786*G821+E821</f>
        <v>579440.45098961599</v>
      </c>
      <c r="J821" s="512">
        <f t="shared" si="74"/>
        <v>0</v>
      </c>
      <c r="K821" s="512"/>
      <c r="L821" s="517"/>
      <c r="M821" s="512">
        <f t="shared" si="75"/>
        <v>0</v>
      </c>
      <c r="N821" s="517"/>
      <c r="O821" s="512">
        <f t="shared" si="76"/>
        <v>0</v>
      </c>
      <c r="P821" s="512">
        <f t="shared" si="77"/>
        <v>0</v>
      </c>
      <c r="Q821" s="473"/>
    </row>
    <row r="822" spans="3:17">
      <c r="C822" s="508">
        <f>IF(D784="","-",+C821+1)</f>
        <v>2046</v>
      </c>
      <c r="D822" s="471">
        <f t="shared" si="78"/>
        <v>2781393.2719642911</v>
      </c>
      <c r="E822" s="515">
        <f t="shared" si="79"/>
        <v>258734.25785714286</v>
      </c>
      <c r="F822" s="515">
        <f t="shared" si="72"/>
        <v>2522659.0141071482</v>
      </c>
      <c r="G822" s="471">
        <f t="shared" si="73"/>
        <v>2652026.1430357196</v>
      </c>
      <c r="H822" s="509">
        <f>+J785*G822+E822</f>
        <v>550933.23382228508</v>
      </c>
      <c r="I822" s="516">
        <f>+J786*G822+E822</f>
        <v>550933.23382228508</v>
      </c>
      <c r="J822" s="512">
        <f t="shared" si="74"/>
        <v>0</v>
      </c>
      <c r="K822" s="512"/>
      <c r="L822" s="517"/>
      <c r="M822" s="512">
        <f t="shared" si="75"/>
        <v>0</v>
      </c>
      <c r="N822" s="517"/>
      <c r="O822" s="512">
        <f t="shared" si="76"/>
        <v>0</v>
      </c>
      <c r="P822" s="512">
        <f t="shared" si="77"/>
        <v>0</v>
      </c>
      <c r="Q822" s="473"/>
    </row>
    <row r="823" spans="3:17">
      <c r="C823" s="508">
        <f>IF(D784="","-",+C822+1)</f>
        <v>2047</v>
      </c>
      <c r="D823" s="471">
        <f t="shared" si="78"/>
        <v>2522659.0141071482</v>
      </c>
      <c r="E823" s="515">
        <f t="shared" si="79"/>
        <v>258734.25785714286</v>
      </c>
      <c r="F823" s="515">
        <f t="shared" si="72"/>
        <v>2263924.7562500052</v>
      </c>
      <c r="G823" s="471">
        <f t="shared" si="73"/>
        <v>2393291.8851785767</v>
      </c>
      <c r="H823" s="509">
        <f>+J785*G823+E823</f>
        <v>522426.01665495418</v>
      </c>
      <c r="I823" s="516">
        <f>+J786*G823+E823</f>
        <v>522426.01665495418</v>
      </c>
      <c r="J823" s="512">
        <f t="shared" si="74"/>
        <v>0</v>
      </c>
      <c r="K823" s="512"/>
      <c r="L823" s="517"/>
      <c r="M823" s="512">
        <f t="shared" si="75"/>
        <v>0</v>
      </c>
      <c r="N823" s="517"/>
      <c r="O823" s="512">
        <f t="shared" si="76"/>
        <v>0</v>
      </c>
      <c r="P823" s="512">
        <f t="shared" si="77"/>
        <v>0</v>
      </c>
      <c r="Q823" s="473"/>
    </row>
    <row r="824" spans="3:17">
      <c r="C824" s="508">
        <f>IF(D784="","-",+C823+1)</f>
        <v>2048</v>
      </c>
      <c r="D824" s="471">
        <f t="shared" si="78"/>
        <v>2263924.7562500052</v>
      </c>
      <c r="E824" s="515">
        <f t="shared" si="79"/>
        <v>258734.25785714286</v>
      </c>
      <c r="F824" s="515">
        <f t="shared" si="72"/>
        <v>2005190.4983928623</v>
      </c>
      <c r="G824" s="471">
        <f t="shared" si="73"/>
        <v>2134557.6273214337</v>
      </c>
      <c r="H824" s="509">
        <f>+J785*G824+E824</f>
        <v>493918.79948762327</v>
      </c>
      <c r="I824" s="516">
        <f>+J786*G824+E824</f>
        <v>493918.79948762327</v>
      </c>
      <c r="J824" s="512">
        <f t="shared" si="74"/>
        <v>0</v>
      </c>
      <c r="K824" s="512"/>
      <c r="L824" s="517"/>
      <c r="M824" s="512">
        <f t="shared" si="75"/>
        <v>0</v>
      </c>
      <c r="N824" s="517"/>
      <c r="O824" s="512">
        <f t="shared" si="76"/>
        <v>0</v>
      </c>
      <c r="P824" s="512">
        <f t="shared" si="77"/>
        <v>0</v>
      </c>
      <c r="Q824" s="473"/>
    </row>
    <row r="825" spans="3:17">
      <c r="C825" s="508">
        <f>IF(D784="","-",+C824+1)</f>
        <v>2049</v>
      </c>
      <c r="D825" s="471">
        <f t="shared" si="78"/>
        <v>2005190.4983928623</v>
      </c>
      <c r="E825" s="515">
        <f t="shared" si="79"/>
        <v>258734.25785714286</v>
      </c>
      <c r="F825" s="515">
        <f t="shared" si="72"/>
        <v>1746456.2405357193</v>
      </c>
      <c r="G825" s="471">
        <f t="shared" si="73"/>
        <v>1875823.3694642908</v>
      </c>
      <c r="H825" s="509">
        <f>+J785*G825+E825</f>
        <v>465411.58232029236</v>
      </c>
      <c r="I825" s="516">
        <f>+J786*G825+E825</f>
        <v>465411.58232029236</v>
      </c>
      <c r="J825" s="512">
        <f t="shared" si="74"/>
        <v>0</v>
      </c>
      <c r="K825" s="512"/>
      <c r="L825" s="517"/>
      <c r="M825" s="512">
        <f t="shared" si="75"/>
        <v>0</v>
      </c>
      <c r="N825" s="517"/>
      <c r="O825" s="512">
        <f t="shared" si="76"/>
        <v>0</v>
      </c>
      <c r="P825" s="512">
        <f t="shared" si="77"/>
        <v>0</v>
      </c>
      <c r="Q825" s="473"/>
    </row>
    <row r="826" spans="3:17">
      <c r="C826" s="508">
        <f>IF(D784="","-",+C825+1)</f>
        <v>2050</v>
      </c>
      <c r="D826" s="471">
        <f t="shared" si="78"/>
        <v>1746456.2405357193</v>
      </c>
      <c r="E826" s="515">
        <f t="shared" si="79"/>
        <v>258734.25785714286</v>
      </c>
      <c r="F826" s="515">
        <f t="shared" si="72"/>
        <v>1487721.9826785764</v>
      </c>
      <c r="G826" s="471">
        <f t="shared" si="73"/>
        <v>1617089.1116071478</v>
      </c>
      <c r="H826" s="509">
        <f>+J785*G826+E826</f>
        <v>436904.36515296146</v>
      </c>
      <c r="I826" s="516">
        <f>+J786*G826+E826</f>
        <v>436904.36515296146</v>
      </c>
      <c r="J826" s="512">
        <f t="shared" si="74"/>
        <v>0</v>
      </c>
      <c r="K826" s="512"/>
      <c r="L826" s="517"/>
      <c r="M826" s="512">
        <f t="shared" si="75"/>
        <v>0</v>
      </c>
      <c r="N826" s="517"/>
      <c r="O826" s="512">
        <f t="shared" si="76"/>
        <v>0</v>
      </c>
      <c r="P826" s="512">
        <f t="shared" si="77"/>
        <v>0</v>
      </c>
      <c r="Q826" s="473"/>
    </row>
    <row r="827" spans="3:17">
      <c r="C827" s="508">
        <f>IF(D784="","-",+C826+1)</f>
        <v>2051</v>
      </c>
      <c r="D827" s="471">
        <f t="shared" si="78"/>
        <v>1487721.9826785764</v>
      </c>
      <c r="E827" s="515">
        <f t="shared" si="79"/>
        <v>258734.25785714286</v>
      </c>
      <c r="F827" s="515">
        <f t="shared" si="72"/>
        <v>1228987.7248214334</v>
      </c>
      <c r="G827" s="471">
        <f t="shared" si="73"/>
        <v>1358354.8537500049</v>
      </c>
      <c r="H827" s="509">
        <f>+J785*G827+E827</f>
        <v>408397.14798563055</v>
      </c>
      <c r="I827" s="516">
        <f>+J786*G827+E827</f>
        <v>408397.14798563055</v>
      </c>
      <c r="J827" s="512">
        <f t="shared" si="74"/>
        <v>0</v>
      </c>
      <c r="K827" s="512"/>
      <c r="L827" s="517"/>
      <c r="M827" s="512">
        <f t="shared" si="75"/>
        <v>0</v>
      </c>
      <c r="N827" s="517"/>
      <c r="O827" s="512">
        <f t="shared" si="76"/>
        <v>0</v>
      </c>
      <c r="P827" s="512">
        <f t="shared" si="77"/>
        <v>0</v>
      </c>
      <c r="Q827" s="473"/>
    </row>
    <row r="828" spans="3:17">
      <c r="C828" s="508">
        <f>IF(D784="","-",+C827+1)</f>
        <v>2052</v>
      </c>
      <c r="D828" s="471">
        <f t="shared" si="78"/>
        <v>1228987.7248214334</v>
      </c>
      <c r="E828" s="515">
        <f t="shared" si="79"/>
        <v>258734.25785714286</v>
      </c>
      <c r="F828" s="515">
        <f t="shared" si="72"/>
        <v>970253.46696429059</v>
      </c>
      <c r="G828" s="471">
        <f t="shared" si="73"/>
        <v>1099620.595892862</v>
      </c>
      <c r="H828" s="509">
        <f>+J785*G828+E828</f>
        <v>379889.9308182997</v>
      </c>
      <c r="I828" s="516">
        <f>+J786*G828+E828</f>
        <v>379889.9308182997</v>
      </c>
      <c r="J828" s="512">
        <f t="shared" si="74"/>
        <v>0</v>
      </c>
      <c r="K828" s="512"/>
      <c r="L828" s="517"/>
      <c r="M828" s="512">
        <f t="shared" si="75"/>
        <v>0</v>
      </c>
      <c r="N828" s="517"/>
      <c r="O828" s="512">
        <f t="shared" si="76"/>
        <v>0</v>
      </c>
      <c r="P828" s="512">
        <f t="shared" si="77"/>
        <v>0</v>
      </c>
      <c r="Q828" s="473"/>
    </row>
    <row r="829" spans="3:17">
      <c r="C829" s="508">
        <f>IF(D784="","-",+C828+1)</f>
        <v>2053</v>
      </c>
      <c r="D829" s="471">
        <f t="shared" si="78"/>
        <v>970253.46696429059</v>
      </c>
      <c r="E829" s="515">
        <f t="shared" si="79"/>
        <v>258734.25785714286</v>
      </c>
      <c r="F829" s="515">
        <f t="shared" si="72"/>
        <v>711519.20910714776</v>
      </c>
      <c r="G829" s="471">
        <f t="shared" si="73"/>
        <v>840886.33803571924</v>
      </c>
      <c r="H829" s="509">
        <f>+J785*G829+E829</f>
        <v>351382.7136509688</v>
      </c>
      <c r="I829" s="516">
        <f>+J786*G829+E829</f>
        <v>351382.7136509688</v>
      </c>
      <c r="J829" s="512">
        <f t="shared" si="74"/>
        <v>0</v>
      </c>
      <c r="K829" s="512"/>
      <c r="L829" s="517"/>
      <c r="M829" s="512">
        <f t="shared" si="75"/>
        <v>0</v>
      </c>
      <c r="N829" s="517"/>
      <c r="O829" s="512">
        <f t="shared" si="76"/>
        <v>0</v>
      </c>
      <c r="P829" s="512">
        <f t="shared" si="77"/>
        <v>0</v>
      </c>
      <c r="Q829" s="473"/>
    </row>
    <row r="830" spans="3:17">
      <c r="C830" s="508">
        <f>IF(D784="","-",+C829+1)</f>
        <v>2054</v>
      </c>
      <c r="D830" s="471">
        <f t="shared" si="78"/>
        <v>711519.20910714776</v>
      </c>
      <c r="E830" s="515">
        <f t="shared" si="79"/>
        <v>258734.25785714286</v>
      </c>
      <c r="F830" s="515">
        <f t="shared" si="72"/>
        <v>452784.95125000493</v>
      </c>
      <c r="G830" s="471">
        <f t="shared" si="73"/>
        <v>582152.08017857629</v>
      </c>
      <c r="H830" s="509">
        <f>+J785*G830+E830</f>
        <v>322875.49648363789</v>
      </c>
      <c r="I830" s="516">
        <f>+J786*G830+E830</f>
        <v>322875.49648363789</v>
      </c>
      <c r="J830" s="512">
        <f t="shared" si="74"/>
        <v>0</v>
      </c>
      <c r="K830" s="512"/>
      <c r="L830" s="517"/>
      <c r="M830" s="512">
        <f t="shared" si="75"/>
        <v>0</v>
      </c>
      <c r="N830" s="517"/>
      <c r="O830" s="512">
        <f t="shared" si="76"/>
        <v>0</v>
      </c>
      <c r="P830" s="512">
        <f t="shared" si="77"/>
        <v>0</v>
      </c>
      <c r="Q830" s="473"/>
    </row>
    <row r="831" spans="3:17">
      <c r="C831" s="508">
        <f>IF(D784="","-",+C830+1)</f>
        <v>2055</v>
      </c>
      <c r="D831" s="471">
        <f t="shared" si="78"/>
        <v>452784.95125000493</v>
      </c>
      <c r="E831" s="515">
        <f t="shared" si="79"/>
        <v>258734.25785714286</v>
      </c>
      <c r="F831" s="515">
        <f t="shared" si="72"/>
        <v>194050.69339286207</v>
      </c>
      <c r="G831" s="471">
        <f t="shared" si="73"/>
        <v>323417.82232143352</v>
      </c>
      <c r="H831" s="509">
        <f>+J785*G831+E831</f>
        <v>294368.27931630705</v>
      </c>
      <c r="I831" s="516">
        <f>+J786*G831+E831</f>
        <v>294368.27931630705</v>
      </c>
      <c r="J831" s="512">
        <f t="shared" si="74"/>
        <v>0</v>
      </c>
      <c r="K831" s="512"/>
      <c r="L831" s="517"/>
      <c r="M831" s="512">
        <f t="shared" si="75"/>
        <v>0</v>
      </c>
      <c r="N831" s="517"/>
      <c r="O831" s="512">
        <f t="shared" si="76"/>
        <v>0</v>
      </c>
      <c r="P831" s="512">
        <f t="shared" si="77"/>
        <v>0</v>
      </c>
      <c r="Q831" s="473"/>
    </row>
    <row r="832" spans="3:17">
      <c r="C832" s="508">
        <f>IF(D784="","-",+C831+1)</f>
        <v>2056</v>
      </c>
      <c r="D832" s="471">
        <f t="shared" si="78"/>
        <v>194050.69339286207</v>
      </c>
      <c r="E832" s="515">
        <f t="shared" si="79"/>
        <v>194050.69339286207</v>
      </c>
      <c r="F832" s="515">
        <f t="shared" si="72"/>
        <v>0</v>
      </c>
      <c r="G832" s="471">
        <f t="shared" si="73"/>
        <v>97025.346696431036</v>
      </c>
      <c r="H832" s="509">
        <f>+J785*G832+E832</f>
        <v>204740.89983061142</v>
      </c>
      <c r="I832" s="516">
        <f>+J786*G832+E832</f>
        <v>204740.89983061142</v>
      </c>
      <c r="J832" s="512">
        <f t="shared" si="74"/>
        <v>0</v>
      </c>
      <c r="K832" s="512"/>
      <c r="L832" s="517"/>
      <c r="M832" s="512">
        <f t="shared" si="75"/>
        <v>0</v>
      </c>
      <c r="N832" s="517"/>
      <c r="O832" s="512">
        <f t="shared" si="76"/>
        <v>0</v>
      </c>
      <c r="P832" s="512">
        <f t="shared" si="77"/>
        <v>0</v>
      </c>
      <c r="Q832" s="473"/>
    </row>
    <row r="833" spans="3:17">
      <c r="C833" s="508">
        <f>IF(D784="","-",+C832+1)</f>
        <v>2057</v>
      </c>
      <c r="D833" s="471">
        <f t="shared" si="78"/>
        <v>0</v>
      </c>
      <c r="E833" s="515">
        <f t="shared" si="79"/>
        <v>0</v>
      </c>
      <c r="F833" s="515">
        <f t="shared" si="72"/>
        <v>0</v>
      </c>
      <c r="G833" s="471">
        <f t="shared" si="73"/>
        <v>0</v>
      </c>
      <c r="H833" s="509">
        <f>+J785*G833+E833</f>
        <v>0</v>
      </c>
      <c r="I833" s="516">
        <f>+J786*G833+E833</f>
        <v>0</v>
      </c>
      <c r="J833" s="512">
        <f t="shared" si="74"/>
        <v>0</v>
      </c>
      <c r="K833" s="512"/>
      <c r="L833" s="517"/>
      <c r="M833" s="512">
        <f t="shared" si="75"/>
        <v>0</v>
      </c>
      <c r="N833" s="517"/>
      <c r="O833" s="512">
        <f t="shared" si="76"/>
        <v>0</v>
      </c>
      <c r="P833" s="512">
        <f t="shared" si="77"/>
        <v>0</v>
      </c>
      <c r="Q833" s="473"/>
    </row>
    <row r="834" spans="3:17">
      <c r="C834" s="508">
        <f>IF(D784="","-",+C833+1)</f>
        <v>2058</v>
      </c>
      <c r="D834" s="471">
        <f t="shared" si="78"/>
        <v>0</v>
      </c>
      <c r="E834" s="515">
        <f t="shared" si="79"/>
        <v>0</v>
      </c>
      <c r="F834" s="515">
        <f t="shared" si="72"/>
        <v>0</v>
      </c>
      <c r="G834" s="471">
        <f t="shared" si="73"/>
        <v>0</v>
      </c>
      <c r="H834" s="509">
        <f>+J785*G834+E834</f>
        <v>0</v>
      </c>
      <c r="I834" s="516">
        <f>+J786*G834+E834</f>
        <v>0</v>
      </c>
      <c r="J834" s="512">
        <f t="shared" si="74"/>
        <v>0</v>
      </c>
      <c r="K834" s="512"/>
      <c r="L834" s="517"/>
      <c r="M834" s="512">
        <f t="shared" si="75"/>
        <v>0</v>
      </c>
      <c r="N834" s="517"/>
      <c r="O834" s="512">
        <f t="shared" si="76"/>
        <v>0</v>
      </c>
      <c r="P834" s="512">
        <f t="shared" si="77"/>
        <v>0</v>
      </c>
      <c r="Q834" s="473"/>
    </row>
    <row r="835" spans="3:17">
      <c r="C835" s="508">
        <f>IF(D784="","-",+C834+1)</f>
        <v>2059</v>
      </c>
      <c r="D835" s="471">
        <f t="shared" si="78"/>
        <v>0</v>
      </c>
      <c r="E835" s="515">
        <f t="shared" si="79"/>
        <v>0</v>
      </c>
      <c r="F835" s="515">
        <f t="shared" si="72"/>
        <v>0</v>
      </c>
      <c r="G835" s="471">
        <f t="shared" si="73"/>
        <v>0</v>
      </c>
      <c r="H835" s="509">
        <f>+J785*G835+E835</f>
        <v>0</v>
      </c>
      <c r="I835" s="516">
        <f>+J786*G835+E835</f>
        <v>0</v>
      </c>
      <c r="J835" s="512">
        <f t="shared" si="74"/>
        <v>0</v>
      </c>
      <c r="K835" s="512"/>
      <c r="L835" s="517"/>
      <c r="M835" s="512">
        <f t="shared" si="75"/>
        <v>0</v>
      </c>
      <c r="N835" s="517"/>
      <c r="O835" s="512">
        <f t="shared" si="76"/>
        <v>0</v>
      </c>
      <c r="P835" s="512">
        <f t="shared" si="77"/>
        <v>0</v>
      </c>
      <c r="Q835" s="473"/>
    </row>
    <row r="836" spans="3:17">
      <c r="C836" s="508">
        <f>IF(D784="","-",+C835+1)</f>
        <v>2060</v>
      </c>
      <c r="D836" s="471">
        <f t="shared" si="78"/>
        <v>0</v>
      </c>
      <c r="E836" s="515">
        <f t="shared" si="79"/>
        <v>0</v>
      </c>
      <c r="F836" s="515">
        <f t="shared" si="72"/>
        <v>0</v>
      </c>
      <c r="G836" s="471">
        <f t="shared" si="73"/>
        <v>0</v>
      </c>
      <c r="H836" s="509">
        <f>+J785*G836+E836</f>
        <v>0</v>
      </c>
      <c r="I836" s="516">
        <f>+J786*G836+E836</f>
        <v>0</v>
      </c>
      <c r="J836" s="512">
        <f t="shared" si="74"/>
        <v>0</v>
      </c>
      <c r="K836" s="512"/>
      <c r="L836" s="517"/>
      <c r="M836" s="512">
        <f t="shared" si="75"/>
        <v>0</v>
      </c>
      <c r="N836" s="517"/>
      <c r="O836" s="512">
        <f t="shared" si="76"/>
        <v>0</v>
      </c>
      <c r="P836" s="512">
        <f t="shared" si="77"/>
        <v>0</v>
      </c>
      <c r="Q836" s="473"/>
    </row>
    <row r="837" spans="3:17">
      <c r="C837" s="508">
        <f>IF(D784="","-",+C836+1)</f>
        <v>2061</v>
      </c>
      <c r="D837" s="471">
        <f t="shared" si="78"/>
        <v>0</v>
      </c>
      <c r="E837" s="515">
        <f t="shared" si="79"/>
        <v>0</v>
      </c>
      <c r="F837" s="515">
        <f t="shared" si="72"/>
        <v>0</v>
      </c>
      <c r="G837" s="471">
        <f t="shared" si="73"/>
        <v>0</v>
      </c>
      <c r="H837" s="509">
        <f>+J785*G837+E837</f>
        <v>0</v>
      </c>
      <c r="I837" s="516">
        <f>+J786*G837+E837</f>
        <v>0</v>
      </c>
      <c r="J837" s="512">
        <f t="shared" si="74"/>
        <v>0</v>
      </c>
      <c r="K837" s="512"/>
      <c r="L837" s="517"/>
      <c r="M837" s="512">
        <f t="shared" si="75"/>
        <v>0</v>
      </c>
      <c r="N837" s="517"/>
      <c r="O837" s="512">
        <f t="shared" si="76"/>
        <v>0</v>
      </c>
      <c r="P837" s="512">
        <f t="shared" si="77"/>
        <v>0</v>
      </c>
      <c r="Q837" s="473"/>
    </row>
    <row r="838" spans="3:17">
      <c r="C838" s="508">
        <f>IF(D784="","-",+C837+1)</f>
        <v>2062</v>
      </c>
      <c r="D838" s="471">
        <f t="shared" si="78"/>
        <v>0</v>
      </c>
      <c r="E838" s="515">
        <f t="shared" si="79"/>
        <v>0</v>
      </c>
      <c r="F838" s="515">
        <f t="shared" si="72"/>
        <v>0</v>
      </c>
      <c r="G838" s="471">
        <f t="shared" si="73"/>
        <v>0</v>
      </c>
      <c r="H838" s="509">
        <f>+J785*G838+E838</f>
        <v>0</v>
      </c>
      <c r="I838" s="516">
        <f>+J786*G838+E838</f>
        <v>0</v>
      </c>
      <c r="J838" s="512">
        <f t="shared" si="74"/>
        <v>0</v>
      </c>
      <c r="K838" s="512"/>
      <c r="L838" s="517"/>
      <c r="M838" s="512">
        <f t="shared" si="75"/>
        <v>0</v>
      </c>
      <c r="N838" s="517"/>
      <c r="O838" s="512">
        <f t="shared" si="76"/>
        <v>0</v>
      </c>
      <c r="P838" s="512">
        <f t="shared" si="77"/>
        <v>0</v>
      </c>
      <c r="Q838" s="473"/>
    </row>
    <row r="839" spans="3:17">
      <c r="C839" s="508">
        <f>IF(D784="","-",+C838+1)</f>
        <v>2063</v>
      </c>
      <c r="D839" s="471">
        <f t="shared" si="78"/>
        <v>0</v>
      </c>
      <c r="E839" s="515">
        <f t="shared" si="79"/>
        <v>0</v>
      </c>
      <c r="F839" s="515">
        <f t="shared" si="72"/>
        <v>0</v>
      </c>
      <c r="G839" s="471">
        <f t="shared" si="73"/>
        <v>0</v>
      </c>
      <c r="H839" s="509">
        <f>+J785*G839+E839</f>
        <v>0</v>
      </c>
      <c r="I839" s="516">
        <f>+J786*G839+E839</f>
        <v>0</v>
      </c>
      <c r="J839" s="512">
        <f t="shared" si="74"/>
        <v>0</v>
      </c>
      <c r="K839" s="512"/>
      <c r="L839" s="517"/>
      <c r="M839" s="512">
        <f t="shared" si="75"/>
        <v>0</v>
      </c>
      <c r="N839" s="517"/>
      <c r="O839" s="512">
        <f t="shared" si="76"/>
        <v>0</v>
      </c>
      <c r="P839" s="512">
        <f t="shared" si="77"/>
        <v>0</v>
      </c>
      <c r="Q839" s="473"/>
    </row>
    <row r="840" spans="3:17">
      <c r="C840" s="508">
        <f>IF(D784="","-",+C839+1)</f>
        <v>2064</v>
      </c>
      <c r="D840" s="471">
        <f t="shared" si="78"/>
        <v>0</v>
      </c>
      <c r="E840" s="515">
        <f t="shared" si="79"/>
        <v>0</v>
      </c>
      <c r="F840" s="515">
        <f t="shared" si="72"/>
        <v>0</v>
      </c>
      <c r="G840" s="471">
        <f t="shared" si="73"/>
        <v>0</v>
      </c>
      <c r="H840" s="509">
        <f>+J785*G840+E840</f>
        <v>0</v>
      </c>
      <c r="I840" s="516">
        <f>+J786*G840+E840</f>
        <v>0</v>
      </c>
      <c r="J840" s="512">
        <f t="shared" si="74"/>
        <v>0</v>
      </c>
      <c r="K840" s="512"/>
      <c r="L840" s="517"/>
      <c r="M840" s="512">
        <f t="shared" si="75"/>
        <v>0</v>
      </c>
      <c r="N840" s="517"/>
      <c r="O840" s="512">
        <f t="shared" si="76"/>
        <v>0</v>
      </c>
      <c r="P840" s="512">
        <f t="shared" si="77"/>
        <v>0</v>
      </c>
      <c r="Q840" s="473"/>
    </row>
    <row r="841" spans="3:17">
      <c r="C841" s="508">
        <f>IF(D784="","-",+C840+1)</f>
        <v>2065</v>
      </c>
      <c r="D841" s="471">
        <f t="shared" si="78"/>
        <v>0</v>
      </c>
      <c r="E841" s="515">
        <f t="shared" si="79"/>
        <v>0</v>
      </c>
      <c r="F841" s="515">
        <f t="shared" si="72"/>
        <v>0</v>
      </c>
      <c r="G841" s="471">
        <f t="shared" si="73"/>
        <v>0</v>
      </c>
      <c r="H841" s="509">
        <f>+J785*G841+E841</f>
        <v>0</v>
      </c>
      <c r="I841" s="516">
        <f>+J786*G841+E841</f>
        <v>0</v>
      </c>
      <c r="J841" s="512">
        <f t="shared" si="74"/>
        <v>0</v>
      </c>
      <c r="K841" s="512"/>
      <c r="L841" s="517"/>
      <c r="M841" s="512">
        <f t="shared" si="75"/>
        <v>0</v>
      </c>
      <c r="N841" s="517"/>
      <c r="O841" s="512">
        <f t="shared" si="76"/>
        <v>0</v>
      </c>
      <c r="P841" s="512">
        <f t="shared" si="77"/>
        <v>0</v>
      </c>
      <c r="Q841" s="473"/>
    </row>
    <row r="842" spans="3:17">
      <c r="C842" s="508">
        <f>IF(D784="","-",+C841+1)</f>
        <v>2066</v>
      </c>
      <c r="D842" s="471">
        <f t="shared" si="78"/>
        <v>0</v>
      </c>
      <c r="E842" s="515">
        <f t="shared" si="79"/>
        <v>0</v>
      </c>
      <c r="F842" s="515">
        <f t="shared" si="72"/>
        <v>0</v>
      </c>
      <c r="G842" s="471">
        <f t="shared" si="73"/>
        <v>0</v>
      </c>
      <c r="H842" s="509">
        <f>+J785*G842+E842</f>
        <v>0</v>
      </c>
      <c r="I842" s="516">
        <f>+J786*G842+E842</f>
        <v>0</v>
      </c>
      <c r="J842" s="512">
        <f t="shared" si="74"/>
        <v>0</v>
      </c>
      <c r="K842" s="512"/>
      <c r="L842" s="517"/>
      <c r="M842" s="512">
        <f t="shared" si="75"/>
        <v>0</v>
      </c>
      <c r="N842" s="517"/>
      <c r="O842" s="512">
        <f t="shared" si="76"/>
        <v>0</v>
      </c>
      <c r="P842" s="512">
        <f t="shared" si="77"/>
        <v>0</v>
      </c>
      <c r="Q842" s="473"/>
    </row>
    <row r="843" spans="3:17">
      <c r="C843" s="508">
        <f>IF(D784="","-",+C842+1)</f>
        <v>2067</v>
      </c>
      <c r="D843" s="471">
        <f t="shared" si="78"/>
        <v>0</v>
      </c>
      <c r="E843" s="515">
        <f t="shared" si="79"/>
        <v>0</v>
      </c>
      <c r="F843" s="515">
        <f t="shared" si="72"/>
        <v>0</v>
      </c>
      <c r="G843" s="471">
        <f t="shared" si="73"/>
        <v>0</v>
      </c>
      <c r="H843" s="509">
        <f>+J785*G843+E843</f>
        <v>0</v>
      </c>
      <c r="I843" s="516">
        <f>+J786*G843+E843</f>
        <v>0</v>
      </c>
      <c r="J843" s="512">
        <f t="shared" si="74"/>
        <v>0</v>
      </c>
      <c r="K843" s="512"/>
      <c r="L843" s="517"/>
      <c r="M843" s="512">
        <f t="shared" si="75"/>
        <v>0</v>
      </c>
      <c r="N843" s="517"/>
      <c r="O843" s="512">
        <f t="shared" si="76"/>
        <v>0</v>
      </c>
      <c r="P843" s="512">
        <f t="shared" si="77"/>
        <v>0</v>
      </c>
      <c r="Q843" s="473"/>
    </row>
    <row r="844" spans="3:17">
      <c r="C844" s="508">
        <f>IF(D784="","-",+C843+1)</f>
        <v>2068</v>
      </c>
      <c r="D844" s="471">
        <f t="shared" si="78"/>
        <v>0</v>
      </c>
      <c r="E844" s="515">
        <f t="shared" si="79"/>
        <v>0</v>
      </c>
      <c r="F844" s="515">
        <f t="shared" si="72"/>
        <v>0</v>
      </c>
      <c r="G844" s="471">
        <f t="shared" si="73"/>
        <v>0</v>
      </c>
      <c r="H844" s="509">
        <f>+J785*G844+E844</f>
        <v>0</v>
      </c>
      <c r="I844" s="516">
        <f>+J786*G844+E844</f>
        <v>0</v>
      </c>
      <c r="J844" s="512">
        <f t="shared" si="74"/>
        <v>0</v>
      </c>
      <c r="K844" s="512"/>
      <c r="L844" s="517"/>
      <c r="M844" s="512">
        <f t="shared" si="75"/>
        <v>0</v>
      </c>
      <c r="N844" s="517"/>
      <c r="O844" s="512">
        <f t="shared" si="76"/>
        <v>0</v>
      </c>
      <c r="P844" s="512">
        <f t="shared" si="77"/>
        <v>0</v>
      </c>
      <c r="Q844" s="473"/>
    </row>
    <row r="845" spans="3:17">
      <c r="C845" s="508">
        <f>IF(D784="","-",+C844+1)</f>
        <v>2069</v>
      </c>
      <c r="D845" s="471">
        <f t="shared" si="78"/>
        <v>0</v>
      </c>
      <c r="E845" s="515">
        <f t="shared" si="79"/>
        <v>0</v>
      </c>
      <c r="F845" s="515">
        <f t="shared" si="72"/>
        <v>0</v>
      </c>
      <c r="G845" s="471">
        <f t="shared" si="73"/>
        <v>0</v>
      </c>
      <c r="H845" s="509">
        <f>+J785*G845+E845</f>
        <v>0</v>
      </c>
      <c r="I845" s="516">
        <f>+J786*G845+E845</f>
        <v>0</v>
      </c>
      <c r="J845" s="512">
        <f t="shared" si="74"/>
        <v>0</v>
      </c>
      <c r="K845" s="512"/>
      <c r="L845" s="517"/>
      <c r="M845" s="512">
        <f t="shared" si="75"/>
        <v>0</v>
      </c>
      <c r="N845" s="517"/>
      <c r="O845" s="512">
        <f t="shared" si="76"/>
        <v>0</v>
      </c>
      <c r="P845" s="512">
        <f t="shared" si="77"/>
        <v>0</v>
      </c>
      <c r="Q845" s="473"/>
    </row>
    <row r="846" spans="3:17">
      <c r="C846" s="508">
        <f>IF(D784="","-",+C845+1)</f>
        <v>2070</v>
      </c>
      <c r="D846" s="471">
        <f t="shared" si="78"/>
        <v>0</v>
      </c>
      <c r="E846" s="515">
        <f t="shared" si="79"/>
        <v>0</v>
      </c>
      <c r="F846" s="515">
        <f t="shared" si="72"/>
        <v>0</v>
      </c>
      <c r="G846" s="471">
        <f t="shared" si="73"/>
        <v>0</v>
      </c>
      <c r="H846" s="509">
        <f>+J785*G846+E846</f>
        <v>0</v>
      </c>
      <c r="I846" s="516">
        <f>+J786*G846+E846</f>
        <v>0</v>
      </c>
      <c r="J846" s="512">
        <f t="shared" si="74"/>
        <v>0</v>
      </c>
      <c r="K846" s="512"/>
      <c r="L846" s="517"/>
      <c r="M846" s="512">
        <f t="shared" si="75"/>
        <v>0</v>
      </c>
      <c r="N846" s="517"/>
      <c r="O846" s="512">
        <f t="shared" si="76"/>
        <v>0</v>
      </c>
      <c r="P846" s="512">
        <f t="shared" si="77"/>
        <v>0</v>
      </c>
      <c r="Q846" s="473"/>
    </row>
    <row r="847" spans="3:17">
      <c r="C847" s="508">
        <f>IF(D784="","-",+C846+1)</f>
        <v>2071</v>
      </c>
      <c r="D847" s="471">
        <f t="shared" si="78"/>
        <v>0</v>
      </c>
      <c r="E847" s="515">
        <f t="shared" si="79"/>
        <v>0</v>
      </c>
      <c r="F847" s="515">
        <f t="shared" si="72"/>
        <v>0</v>
      </c>
      <c r="G847" s="471">
        <f t="shared" si="73"/>
        <v>0</v>
      </c>
      <c r="H847" s="509">
        <f>+J785*G847+E847</f>
        <v>0</v>
      </c>
      <c r="I847" s="516">
        <f>+J786*G847+E847</f>
        <v>0</v>
      </c>
      <c r="J847" s="512">
        <f t="shared" si="74"/>
        <v>0</v>
      </c>
      <c r="K847" s="512"/>
      <c r="L847" s="517"/>
      <c r="M847" s="512">
        <f t="shared" si="75"/>
        <v>0</v>
      </c>
      <c r="N847" s="517"/>
      <c r="O847" s="512">
        <f t="shared" si="76"/>
        <v>0</v>
      </c>
      <c r="P847" s="512">
        <f t="shared" si="77"/>
        <v>0</v>
      </c>
      <c r="Q847" s="473"/>
    </row>
    <row r="848" spans="3:17">
      <c r="C848" s="508">
        <f>IF(D784="","-",+C847+1)</f>
        <v>2072</v>
      </c>
      <c r="D848" s="471">
        <f t="shared" si="78"/>
        <v>0</v>
      </c>
      <c r="E848" s="515">
        <f t="shared" si="79"/>
        <v>0</v>
      </c>
      <c r="F848" s="515">
        <f t="shared" si="72"/>
        <v>0</v>
      </c>
      <c r="G848" s="471">
        <f t="shared" si="73"/>
        <v>0</v>
      </c>
      <c r="H848" s="509">
        <f>+J785*G848+E848</f>
        <v>0</v>
      </c>
      <c r="I848" s="516">
        <f>+J786*G848+E848</f>
        <v>0</v>
      </c>
      <c r="J848" s="512">
        <f t="shared" si="74"/>
        <v>0</v>
      </c>
      <c r="K848" s="512"/>
      <c r="L848" s="517"/>
      <c r="M848" s="512">
        <f t="shared" si="75"/>
        <v>0</v>
      </c>
      <c r="N848" s="517"/>
      <c r="O848" s="512">
        <f t="shared" si="76"/>
        <v>0</v>
      </c>
      <c r="P848" s="512">
        <f t="shared" si="77"/>
        <v>0</v>
      </c>
      <c r="Q848" s="473"/>
    </row>
    <row r="849" spans="1:17" ht="13.5" thickBot="1">
      <c r="C849" s="520">
        <f>IF(D784="","-",+C848+1)</f>
        <v>2073</v>
      </c>
      <c r="D849" s="521">
        <f t="shared" si="78"/>
        <v>0</v>
      </c>
      <c r="E849" s="522">
        <f t="shared" si="79"/>
        <v>0</v>
      </c>
      <c r="F849" s="522">
        <f t="shared" si="72"/>
        <v>0</v>
      </c>
      <c r="G849" s="521">
        <f t="shared" si="73"/>
        <v>0</v>
      </c>
      <c r="H849" s="523">
        <f>+J785*G849+E849</f>
        <v>0</v>
      </c>
      <c r="I849" s="523">
        <f>+J786*G849+E849</f>
        <v>0</v>
      </c>
      <c r="J849" s="524">
        <f t="shared" si="74"/>
        <v>0</v>
      </c>
      <c r="K849" s="512"/>
      <c r="L849" s="525"/>
      <c r="M849" s="524">
        <f t="shared" si="75"/>
        <v>0</v>
      </c>
      <c r="N849" s="525"/>
      <c r="O849" s="524">
        <f t="shared" si="76"/>
        <v>0</v>
      </c>
      <c r="P849" s="524">
        <f t="shared" si="77"/>
        <v>0</v>
      </c>
      <c r="Q849" s="473"/>
    </row>
    <row r="850" spans="1:17">
      <c r="C850" s="471" t="s">
        <v>288</v>
      </c>
      <c r="D850" s="469"/>
      <c r="E850" s="469">
        <f>SUM(E790:E849)</f>
        <v>10866838.83</v>
      </c>
      <c r="F850" s="469"/>
      <c r="G850" s="469"/>
      <c r="H850" s="469">
        <f>SUM(H790:H849)</f>
        <v>36908181.712356806</v>
      </c>
      <c r="I850" s="469">
        <f>SUM(I790:I849)</f>
        <v>36908181.712356806</v>
      </c>
      <c r="J850" s="469">
        <f>SUM(J790:J849)</f>
        <v>0</v>
      </c>
      <c r="K850" s="469"/>
      <c r="L850" s="469"/>
      <c r="M850" s="469"/>
      <c r="N850" s="469"/>
      <c r="O850" s="469"/>
      <c r="Q850" s="469"/>
    </row>
    <row r="851" spans="1:17">
      <c r="D851" s="78"/>
      <c r="E851" s="4"/>
      <c r="F851" s="4"/>
      <c r="G851" s="4"/>
      <c r="H851" s="4"/>
      <c r="I851" s="454"/>
      <c r="J851" s="454"/>
      <c r="K851" s="469"/>
      <c r="L851" s="454"/>
      <c r="M851" s="454"/>
      <c r="N851" s="454"/>
      <c r="O851" s="454"/>
      <c r="Q851" s="469"/>
    </row>
    <row r="852" spans="1:17">
      <c r="C852" s="4" t="s">
        <v>600</v>
      </c>
      <c r="D852" s="78"/>
      <c r="E852" s="4"/>
      <c r="F852" s="4"/>
      <c r="G852" s="4"/>
      <c r="H852" s="4"/>
      <c r="I852" s="454"/>
      <c r="J852" s="454"/>
      <c r="K852" s="469"/>
      <c r="L852" s="454"/>
      <c r="M852" s="454"/>
      <c r="N852" s="454"/>
      <c r="O852" s="454"/>
      <c r="Q852" s="469"/>
    </row>
    <row r="853" spans="1:17">
      <c r="D853" s="78"/>
      <c r="E853" s="4"/>
      <c r="F853" s="4"/>
      <c r="G853" s="4"/>
      <c r="H853" s="4"/>
      <c r="I853" s="454"/>
      <c r="J853" s="454"/>
      <c r="K853" s="469"/>
      <c r="L853" s="454"/>
      <c r="M853" s="454"/>
      <c r="N853" s="454"/>
      <c r="O853" s="454"/>
      <c r="Q853" s="469"/>
    </row>
    <row r="854" spans="1:17">
      <c r="C854" s="4" t="s">
        <v>601</v>
      </c>
      <c r="D854" s="471"/>
      <c r="E854" s="471"/>
      <c r="F854" s="471"/>
      <c r="G854" s="471"/>
      <c r="H854" s="469"/>
      <c r="I854" s="469"/>
      <c r="J854" s="473"/>
      <c r="K854" s="473"/>
      <c r="L854" s="473"/>
      <c r="M854" s="473"/>
      <c r="N854" s="473"/>
      <c r="O854" s="473"/>
      <c r="Q854" s="473"/>
    </row>
    <row r="855" spans="1:17">
      <c r="C855" s="4" t="s">
        <v>476</v>
      </c>
      <c r="D855" s="471"/>
      <c r="E855" s="471"/>
      <c r="F855" s="471"/>
      <c r="G855" s="471"/>
      <c r="H855" s="469"/>
      <c r="I855" s="469"/>
      <c r="J855" s="473"/>
      <c r="K855" s="473"/>
      <c r="L855" s="473"/>
      <c r="M855" s="473"/>
      <c r="N855" s="473"/>
      <c r="O855" s="473"/>
      <c r="Q855" s="473"/>
    </row>
    <row r="856" spans="1:17">
      <c r="C856" s="4" t="s">
        <v>289</v>
      </c>
      <c r="D856" s="471"/>
      <c r="E856" s="471"/>
      <c r="F856" s="471"/>
      <c r="G856" s="471"/>
      <c r="H856" s="469"/>
      <c r="I856" s="469"/>
      <c r="J856" s="473"/>
      <c r="K856" s="473"/>
      <c r="L856" s="473"/>
      <c r="M856" s="473"/>
      <c r="N856" s="473"/>
      <c r="O856" s="473"/>
      <c r="Q856" s="473"/>
    </row>
    <row r="857" spans="1:17" ht="20.25">
      <c r="A857" s="413" t="s">
        <v>767</v>
      </c>
      <c r="B857" s="4"/>
      <c r="C857" s="4"/>
      <c r="D857" s="78"/>
      <c r="E857" s="4"/>
      <c r="F857" s="80"/>
      <c r="G857" s="80"/>
      <c r="H857" s="4"/>
      <c r="I857" s="454"/>
      <c r="L857" s="11"/>
      <c r="M857" s="11"/>
      <c r="N857" s="11"/>
      <c r="O857" s="11" t="str">
        <f>"Page "&amp;SUM(Q$3:Q857)&amp;" of "</f>
        <v xml:space="preserve">Page 11 of </v>
      </c>
      <c r="P857" s="414">
        <f>COUNT(Q$8:Q$58123)</f>
        <v>16</v>
      </c>
      <c r="Q857" s="544">
        <v>1</v>
      </c>
    </row>
    <row r="858" spans="1:17">
      <c r="B858" s="4"/>
      <c r="C858" s="4"/>
      <c r="D858" s="78"/>
      <c r="E858" s="4"/>
      <c r="F858" s="4"/>
      <c r="G858" s="4"/>
      <c r="H858" s="4"/>
      <c r="I858" s="454"/>
      <c r="J858" s="4"/>
      <c r="K858" s="4"/>
    </row>
    <row r="859" spans="1:17" ht="18">
      <c r="B859" s="415" t="s">
        <v>174</v>
      </c>
      <c r="C859" s="474" t="s">
        <v>290</v>
      </c>
      <c r="D859" s="78"/>
      <c r="E859" s="4"/>
      <c r="F859" s="4"/>
      <c r="G859" s="4"/>
      <c r="H859" s="4"/>
      <c r="I859" s="454"/>
      <c r="J859" s="454"/>
      <c r="K859" s="469"/>
      <c r="L859" s="454"/>
      <c r="M859" s="454"/>
      <c r="N859" s="454"/>
      <c r="O859" s="454"/>
      <c r="Q859" s="469"/>
    </row>
    <row r="860" spans="1:17" ht="18.75">
      <c r="B860" s="415"/>
      <c r="C860" s="13"/>
      <c r="D860" s="78"/>
      <c r="E860" s="4"/>
      <c r="F860" s="4"/>
      <c r="G860" s="4"/>
      <c r="H860" s="4"/>
      <c r="I860" s="454"/>
      <c r="J860" s="454"/>
      <c r="K860" s="469"/>
      <c r="L860" s="454"/>
      <c r="M860" s="454"/>
      <c r="N860" s="454"/>
      <c r="O860" s="454"/>
      <c r="Q860" s="469"/>
    </row>
    <row r="861" spans="1:17" ht="18.75">
      <c r="B861" s="415"/>
      <c r="C861" s="13" t="s">
        <v>291</v>
      </c>
      <c r="D861" s="78"/>
      <c r="E861" s="4"/>
      <c r="F861" s="4"/>
      <c r="G861" s="4"/>
      <c r="H861" s="4"/>
      <c r="I861" s="454"/>
      <c r="J861" s="454"/>
      <c r="K861" s="469"/>
      <c r="L861" s="454"/>
      <c r="M861" s="454"/>
      <c r="N861" s="454"/>
      <c r="O861" s="454"/>
      <c r="Q861" s="469"/>
    </row>
    <row r="862" spans="1:17" ht="15.75" thickBot="1">
      <c r="C862" s="250"/>
      <c r="D862" s="78"/>
      <c r="E862" s="4"/>
      <c r="F862" s="4"/>
      <c r="G862" s="4"/>
      <c r="H862" s="4"/>
      <c r="I862" s="454"/>
      <c r="J862" s="454"/>
      <c r="K862" s="469"/>
      <c r="L862" s="454"/>
      <c r="M862" s="454"/>
      <c r="N862" s="454"/>
      <c r="O862" s="454"/>
      <c r="Q862" s="469"/>
    </row>
    <row r="863" spans="1:17" ht="15.75">
      <c r="C863" s="416" t="s">
        <v>292</v>
      </c>
      <c r="D863" s="78"/>
      <c r="E863" s="4"/>
      <c r="F863" s="4"/>
      <c r="G863" s="4"/>
      <c r="H863" s="642"/>
      <c r="I863" s="4" t="s">
        <v>271</v>
      </c>
      <c r="J863" s="4"/>
      <c r="K863" s="4"/>
      <c r="L863" s="545">
        <f>+J869</f>
        <v>2025</v>
      </c>
      <c r="M863" s="529" t="s">
        <v>254</v>
      </c>
      <c r="N863" s="529" t="s">
        <v>255</v>
      </c>
      <c r="O863" s="530" t="s">
        <v>256</v>
      </c>
    </row>
    <row r="864" spans="1:17" ht="15.75">
      <c r="C864" s="416"/>
      <c r="D864" s="78"/>
      <c r="E864" s="4"/>
      <c r="F864" s="4"/>
      <c r="H864" s="4"/>
      <c r="I864" s="478"/>
      <c r="J864" s="478"/>
      <c r="K864" s="479"/>
      <c r="L864" s="546" t="s">
        <v>455</v>
      </c>
      <c r="M864" s="547">
        <f>VLOOKUP(J869,C876:P935,10)</f>
        <v>6367989.6601763172</v>
      </c>
      <c r="N864" s="547">
        <f>VLOOKUP(J869,C876:P935,12)</f>
        <v>6367989.6601763172</v>
      </c>
      <c r="O864" s="548">
        <f>+N864-M864</f>
        <v>0</v>
      </c>
      <c r="Q864" s="479"/>
    </row>
    <row r="865" spans="1:17">
      <c r="C865" s="481" t="s">
        <v>293</v>
      </c>
      <c r="D865" s="1304" t="s">
        <v>938</v>
      </c>
      <c r="E865" s="1304"/>
      <c r="F865" s="1304"/>
      <c r="G865" s="1304"/>
      <c r="H865" s="1304"/>
      <c r="I865" s="454"/>
      <c r="J865" s="454"/>
      <c r="K865" s="469"/>
      <c r="L865" s="546" t="s">
        <v>456</v>
      </c>
      <c r="M865" s="549">
        <f>VLOOKUP(J869,C876:P935,6)</f>
        <v>6959025.758869037</v>
      </c>
      <c r="N865" s="549">
        <f>VLOOKUP(J869,C876:P935,7)</f>
        <v>6959025.758869037</v>
      </c>
      <c r="O865" s="550">
        <f>+N865-M865</f>
        <v>0</v>
      </c>
      <c r="Q865" s="469"/>
    </row>
    <row r="866" spans="1:17" ht="13.5" thickBot="1">
      <c r="C866" s="483"/>
      <c r="D866" s="484"/>
      <c r="E866" s="471"/>
      <c r="F866" s="471"/>
      <c r="G866" s="471"/>
      <c r="H866" s="485"/>
      <c r="I866" s="454"/>
      <c r="J866" s="454"/>
      <c r="K866" s="469"/>
      <c r="L866" s="495" t="s">
        <v>457</v>
      </c>
      <c r="M866" s="551">
        <f>+M865-M864</f>
        <v>591036.09869271982</v>
      </c>
      <c r="N866" s="551">
        <f>+N865-N864</f>
        <v>591036.09869271982</v>
      </c>
      <c r="O866" s="552">
        <f>+O865-O864</f>
        <v>0</v>
      </c>
      <c r="Q866" s="469"/>
    </row>
    <row r="867" spans="1:17" ht="13.5" thickBot="1">
      <c r="C867" s="483"/>
      <c r="D867" s="4"/>
      <c r="E867" s="485"/>
      <c r="F867" s="485"/>
      <c r="G867" s="485"/>
      <c r="H867" s="485"/>
      <c r="I867" s="485"/>
      <c r="J867" s="485"/>
      <c r="K867" s="485"/>
      <c r="L867" s="485"/>
      <c r="M867" s="485"/>
      <c r="N867" s="485"/>
      <c r="O867" s="485"/>
      <c r="Q867" s="485"/>
    </row>
    <row r="868" spans="1:17" ht="13.5" thickBot="1">
      <c r="C868" s="487" t="s">
        <v>294</v>
      </c>
      <c r="D868" s="488"/>
      <c r="E868" s="488"/>
      <c r="F868" s="488"/>
      <c r="G868" s="488"/>
      <c r="H868" s="488"/>
      <c r="I868" s="488"/>
      <c r="J868" s="488"/>
      <c r="Q868"/>
    </row>
    <row r="869" spans="1:17" ht="15">
      <c r="A869" s="486"/>
      <c r="C869" s="490" t="s">
        <v>272</v>
      </c>
      <c r="D869" s="941">
        <v>63046560.969999999</v>
      </c>
      <c r="E869" s="4" t="s">
        <v>273</v>
      </c>
      <c r="H869" s="78"/>
      <c r="I869" s="78"/>
      <c r="J869" s="491">
        <f>$J$95</f>
        <v>2025</v>
      </c>
      <c r="K869" s="134"/>
      <c r="L869" s="1305" t="s">
        <v>274</v>
      </c>
      <c r="M869" s="1305"/>
      <c r="N869" s="1305"/>
      <c r="O869" s="1305"/>
      <c r="Q869" s="134"/>
    </row>
    <row r="870" spans="1:17">
      <c r="A870" s="486"/>
      <c r="C870" s="490" t="s">
        <v>275</v>
      </c>
      <c r="D870" s="644">
        <v>2016</v>
      </c>
      <c r="E870" s="490" t="s">
        <v>276</v>
      </c>
      <c r="F870" s="78"/>
      <c r="G870" s="78"/>
      <c r="I870"/>
      <c r="J870" s="647">
        <v>0</v>
      </c>
      <c r="K870" s="492"/>
      <c r="L870" s="469" t="s">
        <v>475</v>
      </c>
      <c r="Q870" s="492"/>
    </row>
    <row r="871" spans="1:17">
      <c r="A871" s="486"/>
      <c r="C871" s="490" t="s">
        <v>277</v>
      </c>
      <c r="D871" s="942">
        <v>6</v>
      </c>
      <c r="E871" s="490" t="s">
        <v>278</v>
      </c>
      <c r="F871" s="78"/>
      <c r="G871" s="78"/>
      <c r="I871"/>
      <c r="J871" s="493">
        <f>$F$70</f>
        <v>0.11017952320434825</v>
      </c>
      <c r="K871" s="80"/>
      <c r="L871" s="4" t="str">
        <f>"          INPUT TRUE-UP ARR (WITH &amp; WITHOUT INCENTIVES) FROM EACH PRIOR YEAR"</f>
        <v xml:space="preserve">          INPUT TRUE-UP ARR (WITH &amp; WITHOUT INCENTIVES) FROM EACH PRIOR YEAR</v>
      </c>
      <c r="Q871" s="80"/>
    </row>
    <row r="872" spans="1:17">
      <c r="A872" s="486"/>
      <c r="C872" s="490" t="s">
        <v>279</v>
      </c>
      <c r="D872" s="494">
        <f>H79</f>
        <v>42</v>
      </c>
      <c r="E872" s="490" t="s">
        <v>280</v>
      </c>
      <c r="F872" s="78"/>
      <c r="G872" s="78"/>
      <c r="I872"/>
      <c r="J872" s="493">
        <f>IF(H863="",J871,$F$69)</f>
        <v>0.11017952320434825</v>
      </c>
      <c r="K872" s="80"/>
      <c r="L872" s="4" t="s">
        <v>362</v>
      </c>
      <c r="M872" s="80"/>
      <c r="N872" s="80"/>
      <c r="O872" s="80"/>
      <c r="Q872" s="80"/>
    </row>
    <row r="873" spans="1:17" ht="13.5" thickBot="1">
      <c r="A873" s="486"/>
      <c r="C873" s="490" t="s">
        <v>281</v>
      </c>
      <c r="D873" s="646" t="s">
        <v>929</v>
      </c>
      <c r="E873" s="495" t="s">
        <v>282</v>
      </c>
      <c r="F873" s="496"/>
      <c r="G873" s="496"/>
      <c r="H873" s="497"/>
      <c r="I873" s="497"/>
      <c r="J873" s="482">
        <f>IF(D869=0,0,D869/D872)</f>
        <v>1501108.5945238094</v>
      </c>
      <c r="K873" s="469"/>
      <c r="L873" s="469" t="s">
        <v>363</v>
      </c>
      <c r="M873" s="469"/>
      <c r="N873" s="469"/>
      <c r="O873" s="469"/>
      <c r="Q873" s="469"/>
    </row>
    <row r="874" spans="1:17" ht="38.25">
      <c r="A874" s="12"/>
      <c r="B874" s="12"/>
      <c r="C874" s="498" t="s">
        <v>272</v>
      </c>
      <c r="D874" s="499" t="s">
        <v>283</v>
      </c>
      <c r="E874" s="500" t="s">
        <v>284</v>
      </c>
      <c r="F874" s="499" t="s">
        <v>285</v>
      </c>
      <c r="G874" s="499" t="s">
        <v>458</v>
      </c>
      <c r="H874" s="500" t="s">
        <v>356</v>
      </c>
      <c r="I874" s="501" t="s">
        <v>356</v>
      </c>
      <c r="J874" s="498" t="s">
        <v>295</v>
      </c>
      <c r="K874" s="502"/>
      <c r="L874" s="500" t="s">
        <v>358</v>
      </c>
      <c r="M874" s="500" t="s">
        <v>364</v>
      </c>
      <c r="N874" s="500" t="s">
        <v>358</v>
      </c>
      <c r="O874" s="500" t="s">
        <v>366</v>
      </c>
      <c r="P874" s="500" t="s">
        <v>286</v>
      </c>
      <c r="Q874" s="127"/>
    </row>
    <row r="875" spans="1:17" ht="13.5" thickBot="1">
      <c r="C875" s="503" t="s">
        <v>177</v>
      </c>
      <c r="D875" s="504" t="s">
        <v>178</v>
      </c>
      <c r="E875" s="503" t="s">
        <v>37</v>
      </c>
      <c r="F875" s="504" t="s">
        <v>178</v>
      </c>
      <c r="G875" s="504" t="s">
        <v>178</v>
      </c>
      <c r="H875" s="505" t="s">
        <v>298</v>
      </c>
      <c r="I875" s="506" t="s">
        <v>300</v>
      </c>
      <c r="J875" s="503" t="s">
        <v>389</v>
      </c>
      <c r="K875" s="507"/>
      <c r="L875" s="505" t="s">
        <v>287</v>
      </c>
      <c r="M875" s="505" t="s">
        <v>287</v>
      </c>
      <c r="N875" s="505" t="s">
        <v>467</v>
      </c>
      <c r="O875" s="505" t="s">
        <v>467</v>
      </c>
      <c r="P875" s="505" t="s">
        <v>467</v>
      </c>
      <c r="Q875" s="134"/>
    </row>
    <row r="876" spans="1:17">
      <c r="C876" s="508">
        <f>IF(D870= "","-",D870)</f>
        <v>2016</v>
      </c>
      <c r="D876" s="471">
        <f>+D869</f>
        <v>63046560.969999999</v>
      </c>
      <c r="E876" s="509">
        <f>+J873/12*(12-D871)</f>
        <v>750554.29726190469</v>
      </c>
      <c r="F876" s="553">
        <f t="shared" ref="F876:F935" si="80">+D876-E876</f>
        <v>62296006.672738098</v>
      </c>
      <c r="G876" s="471">
        <f t="shared" ref="G876:G935" si="81">+(D876+F876)/2</f>
        <v>62671283.821369052</v>
      </c>
      <c r="H876" s="510">
        <f>+J871*G876+E876</f>
        <v>7655646.4673047317</v>
      </c>
      <c r="I876" s="511">
        <f>+J872*G876+E876</f>
        <v>7655646.4673047317</v>
      </c>
      <c r="J876" s="512">
        <f t="shared" ref="J876:J935" si="82">+I876-H876</f>
        <v>0</v>
      </c>
      <c r="K876" s="512"/>
      <c r="L876" s="513">
        <v>5862811</v>
      </c>
      <c r="M876" s="554">
        <f t="shared" ref="M876:M935" si="83">IF(L876&lt;&gt;0,+H876-L876,0)</f>
        <v>1792835.4673047317</v>
      </c>
      <c r="N876" s="513">
        <v>5862811</v>
      </c>
      <c r="O876" s="554">
        <f t="shared" ref="O876:O935" si="84">IF(N876&lt;&gt;0,+I876-N876,0)</f>
        <v>1792835.4673047317</v>
      </c>
      <c r="P876" s="554">
        <f t="shared" ref="P876:P935" si="85">+O876-M876</f>
        <v>0</v>
      </c>
      <c r="Q876" s="473"/>
    </row>
    <row r="877" spans="1:17">
      <c r="C877" s="508">
        <f>IF(D870="","-",+C876+1)</f>
        <v>2017</v>
      </c>
      <c r="D877" s="471">
        <f t="shared" ref="D877:D935" si="86">F876</f>
        <v>62296006.672738098</v>
      </c>
      <c r="E877" s="515">
        <f>IF(D877&gt;$J$873,$J$873,D877)</f>
        <v>1501108.5945238094</v>
      </c>
      <c r="F877" s="515">
        <f t="shared" si="80"/>
        <v>60794898.078214288</v>
      </c>
      <c r="G877" s="471">
        <f t="shared" si="81"/>
        <v>61545452.375476196</v>
      </c>
      <c r="H877" s="509">
        <f>+J871*G877+E877</f>
        <v>8282157.1926496997</v>
      </c>
      <c r="I877" s="516">
        <f>+J872*G877+E877</f>
        <v>8282157.1926496997</v>
      </c>
      <c r="J877" s="512">
        <f t="shared" si="82"/>
        <v>0</v>
      </c>
      <c r="K877" s="512"/>
      <c r="L877" s="517">
        <v>3438786</v>
      </c>
      <c r="M877" s="512">
        <f t="shared" si="83"/>
        <v>4843371.1926496997</v>
      </c>
      <c r="N877" s="517">
        <v>3438786</v>
      </c>
      <c r="O877" s="512">
        <f t="shared" si="84"/>
        <v>4843371.1926496997</v>
      </c>
      <c r="P877" s="512">
        <f t="shared" si="85"/>
        <v>0</v>
      </c>
      <c r="Q877" s="473"/>
    </row>
    <row r="878" spans="1:17">
      <c r="C878" s="508">
        <f>IF(D870="","-",+C877+1)</f>
        <v>2018</v>
      </c>
      <c r="D878" s="471">
        <f t="shared" si="86"/>
        <v>60794898.078214288</v>
      </c>
      <c r="E878" s="515">
        <f t="shared" ref="E878:E935" si="87">IF(D878&gt;$J$873,$J$873,D878)</f>
        <v>1501108.5945238094</v>
      </c>
      <c r="F878" s="515">
        <f t="shared" si="80"/>
        <v>59293789.483690478</v>
      </c>
      <c r="G878" s="471">
        <f t="shared" si="81"/>
        <v>60044343.780952379</v>
      </c>
      <c r="H878" s="509">
        <f>+J871*G878+E878</f>
        <v>8116765.763427116</v>
      </c>
      <c r="I878" s="516">
        <f>+J872*G878+E878</f>
        <v>8116765.763427116</v>
      </c>
      <c r="J878" s="512">
        <f t="shared" si="82"/>
        <v>0</v>
      </c>
      <c r="K878" s="512"/>
      <c r="L878" s="517">
        <v>5966416</v>
      </c>
      <c r="M878" s="512">
        <f t="shared" si="83"/>
        <v>2150349.763427116</v>
      </c>
      <c r="N878" s="517">
        <v>5966416</v>
      </c>
      <c r="O878" s="512">
        <f t="shared" si="84"/>
        <v>2150349.763427116</v>
      </c>
      <c r="P878" s="512">
        <f t="shared" si="85"/>
        <v>0</v>
      </c>
      <c r="Q878" s="473"/>
    </row>
    <row r="879" spans="1:17">
      <c r="C879" s="508">
        <f>IF(D870="","-",+C878+1)</f>
        <v>2019</v>
      </c>
      <c r="D879" s="955">
        <f t="shared" si="86"/>
        <v>59293789.483690478</v>
      </c>
      <c r="E879" s="515">
        <f t="shared" si="87"/>
        <v>1501108.5945238094</v>
      </c>
      <c r="F879" s="515">
        <f t="shared" si="80"/>
        <v>57792680.889166668</v>
      </c>
      <c r="G879" s="471">
        <f t="shared" si="81"/>
        <v>58543235.186428577</v>
      </c>
      <c r="H879" s="509">
        <f>+J871*G879+E879</f>
        <v>7951374.3342045341</v>
      </c>
      <c r="I879" s="516">
        <f>+J872*G879+E879</f>
        <v>7951374.3342045341</v>
      </c>
      <c r="J879" s="512">
        <f t="shared" si="82"/>
        <v>0</v>
      </c>
      <c r="K879" s="512"/>
      <c r="L879" s="517">
        <v>5898632</v>
      </c>
      <c r="M879" s="512">
        <f t="shared" si="83"/>
        <v>2052742.3342045341</v>
      </c>
      <c r="N879" s="517">
        <v>5898632</v>
      </c>
      <c r="O879" s="512">
        <f t="shared" si="84"/>
        <v>2052742.3342045341</v>
      </c>
      <c r="P879" s="512">
        <f t="shared" si="85"/>
        <v>0</v>
      </c>
      <c r="Q879" s="473"/>
    </row>
    <row r="880" spans="1:17">
      <c r="C880" s="508">
        <f>IF(D870="","-",+C879+1)</f>
        <v>2020</v>
      </c>
      <c r="D880" s="955">
        <f t="shared" si="86"/>
        <v>57792680.889166668</v>
      </c>
      <c r="E880" s="515">
        <f t="shared" si="87"/>
        <v>1501108.5945238094</v>
      </c>
      <c r="F880" s="515">
        <f t="shared" si="80"/>
        <v>56291572.294642858</v>
      </c>
      <c r="G880" s="471">
        <f t="shared" si="81"/>
        <v>57042126.591904759</v>
      </c>
      <c r="H880" s="509">
        <f>+J871*G880+E880</f>
        <v>7785982.9049819503</v>
      </c>
      <c r="I880" s="516">
        <f>+J872*G880+E880</f>
        <v>7785982.9049819503</v>
      </c>
      <c r="J880" s="512">
        <f t="shared" si="82"/>
        <v>0</v>
      </c>
      <c r="K880" s="512"/>
      <c r="L880" s="517">
        <v>5887656.2604113696</v>
      </c>
      <c r="M880" s="512">
        <f t="shared" si="83"/>
        <v>1898326.6445705807</v>
      </c>
      <c r="N880" s="517">
        <v>5887656.2604113696</v>
      </c>
      <c r="O880" s="512">
        <f t="shared" si="84"/>
        <v>1898326.6445705807</v>
      </c>
      <c r="P880" s="512">
        <f t="shared" si="85"/>
        <v>0</v>
      </c>
      <c r="Q880" s="473"/>
    </row>
    <row r="881" spans="3:17">
      <c r="C881" s="508">
        <f>IF(D870="","-",+C880+1)</f>
        <v>2021</v>
      </c>
      <c r="D881" s="471">
        <f t="shared" si="86"/>
        <v>56291572.294642858</v>
      </c>
      <c r="E881" s="515">
        <f t="shared" si="87"/>
        <v>1501108.5945238094</v>
      </c>
      <c r="F881" s="515">
        <f t="shared" si="80"/>
        <v>54790463.700119048</v>
      </c>
      <c r="G881" s="471">
        <f t="shared" si="81"/>
        <v>55541017.997380957</v>
      </c>
      <c r="H881" s="509">
        <f>+J871*G881+E881</f>
        <v>7620591.4757593684</v>
      </c>
      <c r="I881" s="516">
        <f>+J872*G881+E881</f>
        <v>7620591.4757593684</v>
      </c>
      <c r="J881" s="512">
        <f t="shared" si="82"/>
        <v>0</v>
      </c>
      <c r="K881" s="512"/>
      <c r="L881" s="517">
        <v>5781910.5028277636</v>
      </c>
      <c r="M881" s="512">
        <f t="shared" si="83"/>
        <v>1838680.9729316048</v>
      </c>
      <c r="N881" s="517">
        <v>5781910.5028277636</v>
      </c>
      <c r="O881" s="512">
        <f t="shared" si="84"/>
        <v>1838680.9729316048</v>
      </c>
      <c r="P881" s="512">
        <f t="shared" si="85"/>
        <v>0</v>
      </c>
      <c r="Q881" s="473"/>
    </row>
    <row r="882" spans="3:17">
      <c r="C882" s="508">
        <f>IF(D870="","-",+C881+1)</f>
        <v>2022</v>
      </c>
      <c r="D882" s="471">
        <f t="shared" si="86"/>
        <v>54790463.700119048</v>
      </c>
      <c r="E882" s="515">
        <f t="shared" si="87"/>
        <v>1501108.5945238094</v>
      </c>
      <c r="F882" s="515">
        <f t="shared" si="80"/>
        <v>53289355.105595239</v>
      </c>
      <c r="G882" s="471">
        <f t="shared" si="81"/>
        <v>54039909.40285714</v>
      </c>
      <c r="H882" s="509">
        <f>+J871*G882+E882</f>
        <v>7455200.0465367846</v>
      </c>
      <c r="I882" s="516">
        <f>+J872*G882+E882</f>
        <v>7455200.0465367846</v>
      </c>
      <c r="J882" s="512">
        <f t="shared" si="82"/>
        <v>0</v>
      </c>
      <c r="K882" s="512"/>
      <c r="L882" s="517">
        <v>5625382.4201365365</v>
      </c>
      <c r="M882" s="512">
        <f t="shared" si="83"/>
        <v>1829817.6264002481</v>
      </c>
      <c r="N882" s="517">
        <v>5625382.4201365365</v>
      </c>
      <c r="O882" s="512">
        <f t="shared" si="84"/>
        <v>1829817.6264002481</v>
      </c>
      <c r="P882" s="512">
        <f t="shared" si="85"/>
        <v>0</v>
      </c>
      <c r="Q882" s="473"/>
    </row>
    <row r="883" spans="3:17">
      <c r="C883" s="508">
        <f>IF(D870="","-",+C882+1)</f>
        <v>2023</v>
      </c>
      <c r="D883" s="471">
        <f t="shared" si="86"/>
        <v>53289355.105595239</v>
      </c>
      <c r="E883" s="515">
        <f t="shared" si="87"/>
        <v>1501108.5945238094</v>
      </c>
      <c r="F883" s="515">
        <f t="shared" si="80"/>
        <v>51788246.511071429</v>
      </c>
      <c r="G883" s="471">
        <f t="shared" si="81"/>
        <v>52538800.808333337</v>
      </c>
      <c r="H883" s="509">
        <f>+J871*G883+E883</f>
        <v>7289808.6173142027</v>
      </c>
      <c r="I883" s="516">
        <f>+J872*G883+E883</f>
        <v>7289808.6173142027</v>
      </c>
      <c r="J883" s="512">
        <f t="shared" si="82"/>
        <v>0</v>
      </c>
      <c r="K883" s="512"/>
      <c r="L883" s="517">
        <v>6404780.0560494121</v>
      </c>
      <c r="M883" s="512">
        <f t="shared" si="83"/>
        <v>885028.56126479059</v>
      </c>
      <c r="N883" s="517">
        <v>6404780.0560494121</v>
      </c>
      <c r="O883" s="512">
        <f t="shared" si="84"/>
        <v>885028.56126479059</v>
      </c>
      <c r="P883" s="512">
        <f t="shared" si="85"/>
        <v>0</v>
      </c>
      <c r="Q883" s="473"/>
    </row>
    <row r="884" spans="3:17">
      <c r="C884" s="508">
        <f>IF(D870="","-",+C883+1)</f>
        <v>2024</v>
      </c>
      <c r="D884" s="471">
        <f t="shared" si="86"/>
        <v>51788246.511071429</v>
      </c>
      <c r="E884" s="515">
        <f t="shared" si="87"/>
        <v>1501108.5945238094</v>
      </c>
      <c r="F884" s="515">
        <f t="shared" si="80"/>
        <v>50287137.916547619</v>
      </c>
      <c r="G884" s="471">
        <f t="shared" si="81"/>
        <v>51037692.21380952</v>
      </c>
      <c r="H884" s="509">
        <f>+J871*G884+E884</f>
        <v>7124417.1880916189</v>
      </c>
      <c r="I884" s="516">
        <f>+J872*G884+E884</f>
        <v>7124417.1880916189</v>
      </c>
      <c r="J884" s="512">
        <f t="shared" si="82"/>
        <v>0</v>
      </c>
      <c r="K884" s="512"/>
      <c r="L884" s="517">
        <v>6472936.6002367577</v>
      </c>
      <c r="M884" s="512">
        <f t="shared" si="83"/>
        <v>651480.58785486128</v>
      </c>
      <c r="N884" s="517">
        <v>6472936.6002367577</v>
      </c>
      <c r="O884" s="512">
        <f t="shared" si="84"/>
        <v>651480.58785486128</v>
      </c>
      <c r="P884" s="512">
        <f t="shared" si="85"/>
        <v>0</v>
      </c>
      <c r="Q884" s="473"/>
    </row>
    <row r="885" spans="3:17">
      <c r="C885" s="508">
        <f>IF(D870="","-",+C884+1)</f>
        <v>2025</v>
      </c>
      <c r="D885" s="471">
        <f t="shared" si="86"/>
        <v>50287137.916547619</v>
      </c>
      <c r="E885" s="515">
        <f t="shared" si="87"/>
        <v>1501108.5945238094</v>
      </c>
      <c r="F885" s="515">
        <f t="shared" si="80"/>
        <v>48786029.322023809</v>
      </c>
      <c r="G885" s="471">
        <f t="shared" si="81"/>
        <v>49536583.619285718</v>
      </c>
      <c r="H885" s="509">
        <f>+J871*G885+E885</f>
        <v>6959025.758869037</v>
      </c>
      <c r="I885" s="516">
        <f>+J872*G885+E885</f>
        <v>6959025.758869037</v>
      </c>
      <c r="J885" s="512">
        <f t="shared" si="82"/>
        <v>0</v>
      </c>
      <c r="K885" s="512"/>
      <c r="L885" s="517">
        <v>6367989.6601763172</v>
      </c>
      <c r="M885" s="512">
        <f t="shared" si="83"/>
        <v>591036.09869271982</v>
      </c>
      <c r="N885" s="517">
        <v>6367989.6601763172</v>
      </c>
      <c r="O885" s="512">
        <f t="shared" si="84"/>
        <v>591036.09869271982</v>
      </c>
      <c r="P885" s="512">
        <f t="shared" si="85"/>
        <v>0</v>
      </c>
      <c r="Q885" s="473"/>
    </row>
    <row r="886" spans="3:17">
      <c r="C886" s="508">
        <f>IF(D870="","-",+C885+1)</f>
        <v>2026</v>
      </c>
      <c r="D886" s="471">
        <f t="shared" si="86"/>
        <v>48786029.322023809</v>
      </c>
      <c r="E886" s="515">
        <f t="shared" si="87"/>
        <v>1501108.5945238094</v>
      </c>
      <c r="F886" s="515">
        <f t="shared" si="80"/>
        <v>47284920.727499999</v>
      </c>
      <c r="G886" s="471">
        <f t="shared" si="81"/>
        <v>48035475.0247619</v>
      </c>
      <c r="H886" s="509">
        <f>+J871*G886+E886</f>
        <v>6793634.3296464533</v>
      </c>
      <c r="I886" s="516">
        <f>+J872*G886+E886</f>
        <v>6793634.3296464533</v>
      </c>
      <c r="J886" s="512">
        <f t="shared" si="82"/>
        <v>0</v>
      </c>
      <c r="K886" s="512"/>
      <c r="L886" s="517">
        <v>0</v>
      </c>
      <c r="M886" s="512">
        <f t="shared" si="83"/>
        <v>0</v>
      </c>
      <c r="N886" s="517">
        <v>0</v>
      </c>
      <c r="O886" s="512">
        <f t="shared" si="84"/>
        <v>0</v>
      </c>
      <c r="P886" s="512">
        <f t="shared" si="85"/>
        <v>0</v>
      </c>
      <c r="Q886" s="473"/>
    </row>
    <row r="887" spans="3:17">
      <c r="C887" s="508">
        <f>IF(D870="","-",+C886+1)</f>
        <v>2027</v>
      </c>
      <c r="D887" s="471">
        <f t="shared" si="86"/>
        <v>47284920.727499999</v>
      </c>
      <c r="E887" s="515">
        <f t="shared" si="87"/>
        <v>1501108.5945238094</v>
      </c>
      <c r="F887" s="515">
        <f t="shared" si="80"/>
        <v>45783812.132976189</v>
      </c>
      <c r="G887" s="471">
        <f t="shared" si="81"/>
        <v>46534366.430238098</v>
      </c>
      <c r="H887" s="509">
        <f>+J871*G887+E887</f>
        <v>6628242.9004238714</v>
      </c>
      <c r="I887" s="516">
        <f>+J872*G887+E887</f>
        <v>6628242.9004238714</v>
      </c>
      <c r="J887" s="512">
        <f t="shared" si="82"/>
        <v>0</v>
      </c>
      <c r="K887" s="512"/>
      <c r="L887" s="517"/>
      <c r="M887" s="512">
        <f t="shared" si="83"/>
        <v>0</v>
      </c>
      <c r="N887" s="517"/>
      <c r="O887" s="512">
        <f t="shared" si="84"/>
        <v>0</v>
      </c>
      <c r="P887" s="512">
        <f t="shared" si="85"/>
        <v>0</v>
      </c>
      <c r="Q887" s="473"/>
    </row>
    <row r="888" spans="3:17">
      <c r="C888" s="508">
        <f>IF(D870="","-",+C887+1)</f>
        <v>2028</v>
      </c>
      <c r="D888" s="471">
        <f t="shared" si="86"/>
        <v>45783812.132976189</v>
      </c>
      <c r="E888" s="515">
        <f t="shared" si="87"/>
        <v>1501108.5945238094</v>
      </c>
      <c r="F888" s="515">
        <f t="shared" si="80"/>
        <v>44282703.538452379</v>
      </c>
      <c r="G888" s="471">
        <f t="shared" si="81"/>
        <v>45033257.835714281</v>
      </c>
      <c r="H888" s="509">
        <f>+J871*G888+E888</f>
        <v>6462851.4712012894</v>
      </c>
      <c r="I888" s="516">
        <f>+J872*G888+E888</f>
        <v>6462851.4712012894</v>
      </c>
      <c r="J888" s="512">
        <f t="shared" si="82"/>
        <v>0</v>
      </c>
      <c r="K888" s="512"/>
      <c r="L888" s="517"/>
      <c r="M888" s="512">
        <f t="shared" si="83"/>
        <v>0</v>
      </c>
      <c r="N888" s="517"/>
      <c r="O888" s="512">
        <f t="shared" si="84"/>
        <v>0</v>
      </c>
      <c r="P888" s="512">
        <f t="shared" si="85"/>
        <v>0</v>
      </c>
      <c r="Q888" s="473"/>
    </row>
    <row r="889" spans="3:17">
      <c r="C889" s="508">
        <f>IF(D870="","-",+C888+1)</f>
        <v>2029</v>
      </c>
      <c r="D889" s="471">
        <f t="shared" si="86"/>
        <v>44282703.538452379</v>
      </c>
      <c r="E889" s="515">
        <f t="shared" si="87"/>
        <v>1501108.5945238094</v>
      </c>
      <c r="F889" s="515">
        <f t="shared" si="80"/>
        <v>42781594.94392857</v>
      </c>
      <c r="G889" s="471">
        <f t="shared" si="81"/>
        <v>43532149.241190478</v>
      </c>
      <c r="H889" s="509">
        <f>+J871*G889+E889</f>
        <v>6297460.0419787075</v>
      </c>
      <c r="I889" s="516">
        <f>+J872*G889+E889</f>
        <v>6297460.0419787075</v>
      </c>
      <c r="J889" s="512">
        <f t="shared" si="82"/>
        <v>0</v>
      </c>
      <c r="K889" s="512"/>
      <c r="L889" s="517"/>
      <c r="M889" s="512">
        <f t="shared" si="83"/>
        <v>0</v>
      </c>
      <c r="N889" s="517"/>
      <c r="O889" s="512">
        <f t="shared" si="84"/>
        <v>0</v>
      </c>
      <c r="P889" s="512">
        <f t="shared" si="85"/>
        <v>0</v>
      </c>
      <c r="Q889" s="473"/>
    </row>
    <row r="890" spans="3:17">
      <c r="C890" s="508">
        <f>IF(D870="","-",+C889+1)</f>
        <v>2030</v>
      </c>
      <c r="D890" s="471">
        <f t="shared" si="86"/>
        <v>42781594.94392857</v>
      </c>
      <c r="E890" s="515">
        <f t="shared" si="87"/>
        <v>1501108.5945238094</v>
      </c>
      <c r="F890" s="515">
        <f t="shared" si="80"/>
        <v>41280486.34940476</v>
      </c>
      <c r="G890" s="471">
        <f t="shared" si="81"/>
        <v>42031040.646666661</v>
      </c>
      <c r="H890" s="509">
        <f>+J871*G890+E890</f>
        <v>6132068.6127561238</v>
      </c>
      <c r="I890" s="516">
        <f>+J872*G890+E890</f>
        <v>6132068.6127561238</v>
      </c>
      <c r="J890" s="512">
        <f t="shared" si="82"/>
        <v>0</v>
      </c>
      <c r="K890" s="512"/>
      <c r="L890" s="517"/>
      <c r="M890" s="512">
        <f t="shared" si="83"/>
        <v>0</v>
      </c>
      <c r="N890" s="517"/>
      <c r="O890" s="512">
        <f t="shared" si="84"/>
        <v>0</v>
      </c>
      <c r="P890" s="512">
        <f t="shared" si="85"/>
        <v>0</v>
      </c>
      <c r="Q890" s="473"/>
    </row>
    <row r="891" spans="3:17">
      <c r="C891" s="508">
        <f>IF(D870="","-",+C890+1)</f>
        <v>2031</v>
      </c>
      <c r="D891" s="471">
        <f t="shared" si="86"/>
        <v>41280486.34940476</v>
      </c>
      <c r="E891" s="515">
        <f t="shared" si="87"/>
        <v>1501108.5945238094</v>
      </c>
      <c r="F891" s="515">
        <f t="shared" si="80"/>
        <v>39779377.75488095</v>
      </c>
      <c r="G891" s="471">
        <f t="shared" si="81"/>
        <v>40529932.052142859</v>
      </c>
      <c r="H891" s="509">
        <f>+J871*G891+E891</f>
        <v>5966677.1835335419</v>
      </c>
      <c r="I891" s="516">
        <f>+J872*G891+E891</f>
        <v>5966677.1835335419</v>
      </c>
      <c r="J891" s="512">
        <f t="shared" si="82"/>
        <v>0</v>
      </c>
      <c r="K891" s="512"/>
      <c r="L891" s="517"/>
      <c r="M891" s="512">
        <f t="shared" si="83"/>
        <v>0</v>
      </c>
      <c r="N891" s="517"/>
      <c r="O891" s="512">
        <f t="shared" si="84"/>
        <v>0</v>
      </c>
      <c r="P891" s="512">
        <f t="shared" si="85"/>
        <v>0</v>
      </c>
      <c r="Q891" s="473"/>
    </row>
    <row r="892" spans="3:17">
      <c r="C892" s="508">
        <f>IF(D870="","-",+C891+1)</f>
        <v>2032</v>
      </c>
      <c r="D892" s="471">
        <f t="shared" si="86"/>
        <v>39779377.75488095</v>
      </c>
      <c r="E892" s="515">
        <f t="shared" si="87"/>
        <v>1501108.5945238094</v>
      </c>
      <c r="F892" s="515">
        <f t="shared" si="80"/>
        <v>38278269.16035714</v>
      </c>
      <c r="G892" s="471">
        <f t="shared" si="81"/>
        <v>39028823.457619041</v>
      </c>
      <c r="H892" s="509">
        <f>+J871*G892+E892</f>
        <v>5801285.7543109581</v>
      </c>
      <c r="I892" s="516">
        <f>+J872*G892+E892</f>
        <v>5801285.7543109581</v>
      </c>
      <c r="J892" s="512">
        <f t="shared" si="82"/>
        <v>0</v>
      </c>
      <c r="K892" s="512"/>
      <c r="L892" s="517"/>
      <c r="M892" s="512">
        <f t="shared" si="83"/>
        <v>0</v>
      </c>
      <c r="N892" s="517"/>
      <c r="O892" s="512">
        <f t="shared" si="84"/>
        <v>0</v>
      </c>
      <c r="P892" s="512">
        <f t="shared" si="85"/>
        <v>0</v>
      </c>
      <c r="Q892" s="473"/>
    </row>
    <row r="893" spans="3:17">
      <c r="C893" s="508">
        <f>IF(D870="","-",+C892+1)</f>
        <v>2033</v>
      </c>
      <c r="D893" s="471">
        <f t="shared" si="86"/>
        <v>38278269.16035714</v>
      </c>
      <c r="E893" s="515">
        <f t="shared" si="87"/>
        <v>1501108.5945238094</v>
      </c>
      <c r="F893" s="515">
        <f t="shared" si="80"/>
        <v>36777160.56583333</v>
      </c>
      <c r="G893" s="471">
        <f t="shared" si="81"/>
        <v>37527714.863095239</v>
      </c>
      <c r="H893" s="509">
        <f>+J871*G893+E893</f>
        <v>5635894.3250883762</v>
      </c>
      <c r="I893" s="516">
        <f>+J872*G893+E893</f>
        <v>5635894.3250883762</v>
      </c>
      <c r="J893" s="512">
        <f t="shared" si="82"/>
        <v>0</v>
      </c>
      <c r="K893" s="512"/>
      <c r="L893" s="517"/>
      <c r="M893" s="512">
        <f t="shared" si="83"/>
        <v>0</v>
      </c>
      <c r="N893" s="517"/>
      <c r="O893" s="512">
        <f t="shared" si="84"/>
        <v>0</v>
      </c>
      <c r="P893" s="512">
        <f t="shared" si="85"/>
        <v>0</v>
      </c>
      <c r="Q893" s="473"/>
    </row>
    <row r="894" spans="3:17">
      <c r="C894" s="508">
        <f>IF(D870="","-",+C893+1)</f>
        <v>2034</v>
      </c>
      <c r="D894" s="471">
        <f t="shared" si="86"/>
        <v>36777160.56583333</v>
      </c>
      <c r="E894" s="515">
        <f t="shared" si="87"/>
        <v>1501108.5945238094</v>
      </c>
      <c r="F894" s="515">
        <f t="shared" si="80"/>
        <v>35276051.97130952</v>
      </c>
      <c r="G894" s="471">
        <f t="shared" si="81"/>
        <v>36026606.268571422</v>
      </c>
      <c r="H894" s="509">
        <f>+J871*G894+E894</f>
        <v>5470502.8958657924</v>
      </c>
      <c r="I894" s="516">
        <f>+J872*G894+E894</f>
        <v>5470502.8958657924</v>
      </c>
      <c r="J894" s="512">
        <f t="shared" si="82"/>
        <v>0</v>
      </c>
      <c r="K894" s="512"/>
      <c r="L894" s="517"/>
      <c r="M894" s="512">
        <f t="shared" si="83"/>
        <v>0</v>
      </c>
      <c r="N894" s="517"/>
      <c r="O894" s="512">
        <f t="shared" si="84"/>
        <v>0</v>
      </c>
      <c r="P894" s="512">
        <f t="shared" si="85"/>
        <v>0</v>
      </c>
      <c r="Q894" s="473"/>
    </row>
    <row r="895" spans="3:17">
      <c r="C895" s="508">
        <f>IF(D870="","-",+C894+1)</f>
        <v>2035</v>
      </c>
      <c r="D895" s="471">
        <f t="shared" si="86"/>
        <v>35276051.97130952</v>
      </c>
      <c r="E895" s="515">
        <f t="shared" si="87"/>
        <v>1501108.5945238094</v>
      </c>
      <c r="F895" s="515">
        <f t="shared" si="80"/>
        <v>33774943.37678571</v>
      </c>
      <c r="G895" s="471">
        <f t="shared" si="81"/>
        <v>34525497.674047619</v>
      </c>
      <c r="H895" s="509">
        <f>+J871*G895+E895</f>
        <v>5305111.4666432105</v>
      </c>
      <c r="I895" s="516">
        <f>+J872*G895+E895</f>
        <v>5305111.4666432105</v>
      </c>
      <c r="J895" s="512">
        <f t="shared" si="82"/>
        <v>0</v>
      </c>
      <c r="K895" s="512"/>
      <c r="L895" s="517"/>
      <c r="M895" s="512">
        <f t="shared" si="83"/>
        <v>0</v>
      </c>
      <c r="N895" s="517"/>
      <c r="O895" s="512">
        <f t="shared" si="84"/>
        <v>0</v>
      </c>
      <c r="P895" s="512">
        <f t="shared" si="85"/>
        <v>0</v>
      </c>
      <c r="Q895" s="473"/>
    </row>
    <row r="896" spans="3:17">
      <c r="C896" s="508">
        <f>IF(D870="","-",+C895+1)</f>
        <v>2036</v>
      </c>
      <c r="D896" s="471">
        <f t="shared" si="86"/>
        <v>33774943.37678571</v>
      </c>
      <c r="E896" s="515">
        <f t="shared" si="87"/>
        <v>1501108.5945238094</v>
      </c>
      <c r="F896" s="515">
        <f t="shared" si="80"/>
        <v>32273834.782261901</v>
      </c>
      <c r="G896" s="471">
        <f t="shared" si="81"/>
        <v>33024389.079523806</v>
      </c>
      <c r="H896" s="509">
        <f>+J871*G896+E896</f>
        <v>5139720.0374206267</v>
      </c>
      <c r="I896" s="516">
        <f>+J872*G896+E896</f>
        <v>5139720.0374206267</v>
      </c>
      <c r="J896" s="512">
        <f t="shared" si="82"/>
        <v>0</v>
      </c>
      <c r="K896" s="512"/>
      <c r="L896" s="517"/>
      <c r="M896" s="512">
        <f t="shared" si="83"/>
        <v>0</v>
      </c>
      <c r="N896" s="517"/>
      <c r="O896" s="512">
        <f t="shared" si="84"/>
        <v>0</v>
      </c>
      <c r="P896" s="512">
        <f t="shared" si="85"/>
        <v>0</v>
      </c>
      <c r="Q896" s="473"/>
    </row>
    <row r="897" spans="3:17">
      <c r="C897" s="508">
        <f>IF(D870="","-",+C896+1)</f>
        <v>2037</v>
      </c>
      <c r="D897" s="471">
        <f t="shared" si="86"/>
        <v>32273834.782261901</v>
      </c>
      <c r="E897" s="515">
        <f t="shared" si="87"/>
        <v>1501108.5945238094</v>
      </c>
      <c r="F897" s="515">
        <f t="shared" si="80"/>
        <v>30772726.187738091</v>
      </c>
      <c r="G897" s="471">
        <f t="shared" si="81"/>
        <v>31523280.484999996</v>
      </c>
      <c r="H897" s="509">
        <f>+J871*G897+E897</f>
        <v>4974328.6081980448</v>
      </c>
      <c r="I897" s="516">
        <f>+J872*G897+E897</f>
        <v>4974328.6081980448</v>
      </c>
      <c r="J897" s="512">
        <f t="shared" si="82"/>
        <v>0</v>
      </c>
      <c r="K897" s="512"/>
      <c r="L897" s="517"/>
      <c r="M897" s="512">
        <f t="shared" si="83"/>
        <v>0</v>
      </c>
      <c r="N897" s="517"/>
      <c r="O897" s="512">
        <f t="shared" si="84"/>
        <v>0</v>
      </c>
      <c r="P897" s="512">
        <f t="shared" si="85"/>
        <v>0</v>
      </c>
      <c r="Q897" s="473"/>
    </row>
    <row r="898" spans="3:17">
      <c r="C898" s="508">
        <f>IF(D870="","-",+C897+1)</f>
        <v>2038</v>
      </c>
      <c r="D898" s="471">
        <f t="shared" si="86"/>
        <v>30772726.187738091</v>
      </c>
      <c r="E898" s="515">
        <f t="shared" si="87"/>
        <v>1501108.5945238094</v>
      </c>
      <c r="F898" s="515">
        <f t="shared" si="80"/>
        <v>29271617.593214281</v>
      </c>
      <c r="G898" s="471">
        <f t="shared" si="81"/>
        <v>30022171.890476186</v>
      </c>
      <c r="H898" s="509">
        <f>+J871*G898+E898</f>
        <v>4808937.178975462</v>
      </c>
      <c r="I898" s="516">
        <f>+J872*G898+E898</f>
        <v>4808937.178975462</v>
      </c>
      <c r="J898" s="512">
        <f t="shared" si="82"/>
        <v>0</v>
      </c>
      <c r="K898" s="512"/>
      <c r="L898" s="517"/>
      <c r="M898" s="512">
        <f t="shared" si="83"/>
        <v>0</v>
      </c>
      <c r="N898" s="517"/>
      <c r="O898" s="512">
        <f t="shared" si="84"/>
        <v>0</v>
      </c>
      <c r="P898" s="512">
        <f t="shared" si="85"/>
        <v>0</v>
      </c>
      <c r="Q898" s="473"/>
    </row>
    <row r="899" spans="3:17">
      <c r="C899" s="508">
        <f>IF(D870="","-",+C898+1)</f>
        <v>2039</v>
      </c>
      <c r="D899" s="471">
        <f t="shared" si="86"/>
        <v>29271617.593214281</v>
      </c>
      <c r="E899" s="515">
        <f t="shared" si="87"/>
        <v>1501108.5945238094</v>
      </c>
      <c r="F899" s="515">
        <f t="shared" si="80"/>
        <v>27770508.998690471</v>
      </c>
      <c r="G899" s="471">
        <f t="shared" si="81"/>
        <v>28521063.295952376</v>
      </c>
      <c r="H899" s="509">
        <f>+J871*G899+E899</f>
        <v>4643545.7497528791</v>
      </c>
      <c r="I899" s="516">
        <f>+J872*G899+E899</f>
        <v>4643545.7497528791</v>
      </c>
      <c r="J899" s="512">
        <f t="shared" si="82"/>
        <v>0</v>
      </c>
      <c r="K899" s="512"/>
      <c r="L899" s="517"/>
      <c r="M899" s="512">
        <f t="shared" si="83"/>
        <v>0</v>
      </c>
      <c r="N899" s="517"/>
      <c r="O899" s="512">
        <f t="shared" si="84"/>
        <v>0</v>
      </c>
      <c r="P899" s="512">
        <f t="shared" si="85"/>
        <v>0</v>
      </c>
      <c r="Q899" s="473"/>
    </row>
    <row r="900" spans="3:17">
      <c r="C900" s="508">
        <f>IF(D870="","-",+C899+1)</f>
        <v>2040</v>
      </c>
      <c r="D900" s="471">
        <f t="shared" si="86"/>
        <v>27770508.998690471</v>
      </c>
      <c r="E900" s="515">
        <f t="shared" si="87"/>
        <v>1501108.5945238094</v>
      </c>
      <c r="F900" s="515">
        <f t="shared" si="80"/>
        <v>26269400.404166661</v>
      </c>
      <c r="G900" s="471">
        <f t="shared" si="81"/>
        <v>27019954.701428566</v>
      </c>
      <c r="H900" s="509">
        <f>+J871*G900+E900</f>
        <v>4478154.3205302972</v>
      </c>
      <c r="I900" s="516">
        <f>+J872*G900+E900</f>
        <v>4478154.3205302972</v>
      </c>
      <c r="J900" s="512">
        <f t="shared" si="82"/>
        <v>0</v>
      </c>
      <c r="K900" s="512"/>
      <c r="L900" s="517"/>
      <c r="M900" s="512">
        <f t="shared" si="83"/>
        <v>0</v>
      </c>
      <c r="N900" s="517"/>
      <c r="O900" s="512">
        <f t="shared" si="84"/>
        <v>0</v>
      </c>
      <c r="P900" s="512">
        <f t="shared" si="85"/>
        <v>0</v>
      </c>
      <c r="Q900" s="473"/>
    </row>
    <row r="901" spans="3:17">
      <c r="C901" s="508">
        <f>IF(D870="","-",+C900+1)</f>
        <v>2041</v>
      </c>
      <c r="D901" s="471">
        <f t="shared" si="86"/>
        <v>26269400.404166661</v>
      </c>
      <c r="E901" s="515">
        <f t="shared" si="87"/>
        <v>1501108.5945238094</v>
      </c>
      <c r="F901" s="515">
        <f t="shared" si="80"/>
        <v>24768291.809642851</v>
      </c>
      <c r="G901" s="471">
        <f t="shared" si="81"/>
        <v>25518846.106904756</v>
      </c>
      <c r="H901" s="509">
        <f>+J871*G901+E901</f>
        <v>4312762.8913077135</v>
      </c>
      <c r="I901" s="516">
        <f>+J872*G901+E901</f>
        <v>4312762.8913077135</v>
      </c>
      <c r="J901" s="512">
        <f t="shared" si="82"/>
        <v>0</v>
      </c>
      <c r="K901" s="512"/>
      <c r="L901" s="517"/>
      <c r="M901" s="512">
        <f t="shared" si="83"/>
        <v>0</v>
      </c>
      <c r="N901" s="517"/>
      <c r="O901" s="512">
        <f t="shared" si="84"/>
        <v>0</v>
      </c>
      <c r="P901" s="512">
        <f t="shared" si="85"/>
        <v>0</v>
      </c>
      <c r="Q901" s="473"/>
    </row>
    <row r="902" spans="3:17">
      <c r="C902" s="508">
        <f>IF(D870="","-",+C901+1)</f>
        <v>2042</v>
      </c>
      <c r="D902" s="471">
        <f t="shared" si="86"/>
        <v>24768291.809642851</v>
      </c>
      <c r="E902" s="515">
        <f t="shared" si="87"/>
        <v>1501108.5945238094</v>
      </c>
      <c r="F902" s="515">
        <f t="shared" si="80"/>
        <v>23267183.215119042</v>
      </c>
      <c r="G902" s="471">
        <f t="shared" si="81"/>
        <v>24017737.512380946</v>
      </c>
      <c r="H902" s="509">
        <f>+J871*G902+E902</f>
        <v>4147371.4620851311</v>
      </c>
      <c r="I902" s="516">
        <f>+J872*G902+E902</f>
        <v>4147371.4620851311</v>
      </c>
      <c r="J902" s="512">
        <f t="shared" si="82"/>
        <v>0</v>
      </c>
      <c r="K902" s="512"/>
      <c r="L902" s="517"/>
      <c r="M902" s="512">
        <f t="shared" si="83"/>
        <v>0</v>
      </c>
      <c r="N902" s="517"/>
      <c r="O902" s="512">
        <f t="shared" si="84"/>
        <v>0</v>
      </c>
      <c r="P902" s="512">
        <f t="shared" si="85"/>
        <v>0</v>
      </c>
      <c r="Q902" s="473"/>
    </row>
    <row r="903" spans="3:17">
      <c r="C903" s="508">
        <f>IF(D870="","-",+C902+1)</f>
        <v>2043</v>
      </c>
      <c r="D903" s="471">
        <f t="shared" si="86"/>
        <v>23267183.215119042</v>
      </c>
      <c r="E903" s="515">
        <f t="shared" si="87"/>
        <v>1501108.5945238094</v>
      </c>
      <c r="F903" s="515">
        <f t="shared" si="80"/>
        <v>21766074.620595232</v>
      </c>
      <c r="G903" s="471">
        <f t="shared" si="81"/>
        <v>22516628.917857137</v>
      </c>
      <c r="H903" s="509">
        <f>+J871*G903+E903</f>
        <v>3981980.0328625487</v>
      </c>
      <c r="I903" s="516">
        <f>+J872*G903+E903</f>
        <v>3981980.0328625487</v>
      </c>
      <c r="J903" s="512">
        <f t="shared" si="82"/>
        <v>0</v>
      </c>
      <c r="K903" s="512"/>
      <c r="L903" s="517"/>
      <c r="M903" s="512">
        <f t="shared" si="83"/>
        <v>0</v>
      </c>
      <c r="N903" s="517"/>
      <c r="O903" s="512">
        <f t="shared" si="84"/>
        <v>0</v>
      </c>
      <c r="P903" s="512">
        <f t="shared" si="85"/>
        <v>0</v>
      </c>
      <c r="Q903" s="473"/>
    </row>
    <row r="904" spans="3:17">
      <c r="C904" s="508">
        <f>IF(D870="","-",+C903+1)</f>
        <v>2044</v>
      </c>
      <c r="D904" s="471">
        <f t="shared" si="86"/>
        <v>21766074.620595232</v>
      </c>
      <c r="E904" s="515">
        <f t="shared" si="87"/>
        <v>1501108.5945238094</v>
      </c>
      <c r="F904" s="515">
        <f t="shared" si="80"/>
        <v>20264966.026071422</v>
      </c>
      <c r="G904" s="471">
        <f t="shared" si="81"/>
        <v>21015520.323333327</v>
      </c>
      <c r="H904" s="509">
        <f>+J871*G904+E904</f>
        <v>3816588.6036399659</v>
      </c>
      <c r="I904" s="516">
        <f>+J872*G904+E904</f>
        <v>3816588.6036399659</v>
      </c>
      <c r="J904" s="512">
        <f t="shared" si="82"/>
        <v>0</v>
      </c>
      <c r="K904" s="512"/>
      <c r="L904" s="517"/>
      <c r="M904" s="512">
        <f t="shared" si="83"/>
        <v>0</v>
      </c>
      <c r="N904" s="517"/>
      <c r="O904" s="512">
        <f t="shared" si="84"/>
        <v>0</v>
      </c>
      <c r="P904" s="512">
        <f t="shared" si="85"/>
        <v>0</v>
      </c>
      <c r="Q904" s="473"/>
    </row>
    <row r="905" spans="3:17">
      <c r="C905" s="508">
        <f>IF(D870="","-",+C904+1)</f>
        <v>2045</v>
      </c>
      <c r="D905" s="471">
        <f t="shared" si="86"/>
        <v>20264966.026071422</v>
      </c>
      <c r="E905" s="515">
        <f t="shared" si="87"/>
        <v>1501108.5945238094</v>
      </c>
      <c r="F905" s="515">
        <f t="shared" si="80"/>
        <v>18763857.431547612</v>
      </c>
      <c r="G905" s="471">
        <f t="shared" si="81"/>
        <v>19514411.728809517</v>
      </c>
      <c r="H905" s="509">
        <f>+J871*G905+E905</f>
        <v>3651197.174417383</v>
      </c>
      <c r="I905" s="516">
        <f>+J872*G905+E905</f>
        <v>3651197.174417383</v>
      </c>
      <c r="J905" s="512">
        <f t="shared" si="82"/>
        <v>0</v>
      </c>
      <c r="K905" s="512"/>
      <c r="L905" s="517"/>
      <c r="M905" s="512">
        <f t="shared" si="83"/>
        <v>0</v>
      </c>
      <c r="N905" s="517"/>
      <c r="O905" s="512">
        <f t="shared" si="84"/>
        <v>0</v>
      </c>
      <c r="P905" s="512">
        <f t="shared" si="85"/>
        <v>0</v>
      </c>
      <c r="Q905" s="473"/>
    </row>
    <row r="906" spans="3:17">
      <c r="C906" s="508">
        <f>IF(D870="","-",+C905+1)</f>
        <v>2046</v>
      </c>
      <c r="D906" s="471">
        <f t="shared" si="86"/>
        <v>18763857.431547612</v>
      </c>
      <c r="E906" s="515">
        <f t="shared" si="87"/>
        <v>1501108.5945238094</v>
      </c>
      <c r="F906" s="515">
        <f t="shared" si="80"/>
        <v>17262748.837023802</v>
      </c>
      <c r="G906" s="471">
        <f t="shared" si="81"/>
        <v>18013303.134285707</v>
      </c>
      <c r="H906" s="509">
        <f>+J871*G906+E906</f>
        <v>3485805.7451948002</v>
      </c>
      <c r="I906" s="516">
        <f>+J872*G906+E906</f>
        <v>3485805.7451948002</v>
      </c>
      <c r="J906" s="512">
        <f t="shared" si="82"/>
        <v>0</v>
      </c>
      <c r="K906" s="512"/>
      <c r="L906" s="517"/>
      <c r="M906" s="512">
        <f t="shared" si="83"/>
        <v>0</v>
      </c>
      <c r="N906" s="517"/>
      <c r="O906" s="512">
        <f t="shared" si="84"/>
        <v>0</v>
      </c>
      <c r="P906" s="512">
        <f t="shared" si="85"/>
        <v>0</v>
      </c>
      <c r="Q906" s="473"/>
    </row>
    <row r="907" spans="3:17">
      <c r="C907" s="508">
        <f>IF(D870="","-",+C906+1)</f>
        <v>2047</v>
      </c>
      <c r="D907" s="471">
        <f t="shared" si="86"/>
        <v>17262748.837023802</v>
      </c>
      <c r="E907" s="515">
        <f t="shared" si="87"/>
        <v>1501108.5945238094</v>
      </c>
      <c r="F907" s="515">
        <f t="shared" si="80"/>
        <v>15761640.242499992</v>
      </c>
      <c r="G907" s="471">
        <f t="shared" si="81"/>
        <v>16512194.539761897</v>
      </c>
      <c r="H907" s="509">
        <f>+J871*G907+E907</f>
        <v>3320414.3159722178</v>
      </c>
      <c r="I907" s="516">
        <f>+J872*G907+E907</f>
        <v>3320414.3159722178</v>
      </c>
      <c r="J907" s="512">
        <f t="shared" si="82"/>
        <v>0</v>
      </c>
      <c r="K907" s="512"/>
      <c r="L907" s="517"/>
      <c r="M907" s="512">
        <f t="shared" si="83"/>
        <v>0</v>
      </c>
      <c r="N907" s="517"/>
      <c r="O907" s="512">
        <f t="shared" si="84"/>
        <v>0</v>
      </c>
      <c r="P907" s="512">
        <f t="shared" si="85"/>
        <v>0</v>
      </c>
      <c r="Q907" s="473"/>
    </row>
    <row r="908" spans="3:17">
      <c r="C908" s="508">
        <f>IF(D870="","-",+C907+1)</f>
        <v>2048</v>
      </c>
      <c r="D908" s="471">
        <f t="shared" si="86"/>
        <v>15761640.242499992</v>
      </c>
      <c r="E908" s="515">
        <f t="shared" si="87"/>
        <v>1501108.5945238094</v>
      </c>
      <c r="F908" s="515">
        <f t="shared" si="80"/>
        <v>14260531.647976182</v>
      </c>
      <c r="G908" s="471">
        <f t="shared" si="81"/>
        <v>15011085.945238087</v>
      </c>
      <c r="H908" s="509">
        <f>+J871*G908+E908</f>
        <v>3155022.886749635</v>
      </c>
      <c r="I908" s="516">
        <f>+J872*G908+E908</f>
        <v>3155022.886749635</v>
      </c>
      <c r="J908" s="512">
        <f t="shared" si="82"/>
        <v>0</v>
      </c>
      <c r="K908" s="512"/>
      <c r="L908" s="517"/>
      <c r="M908" s="512">
        <f t="shared" si="83"/>
        <v>0</v>
      </c>
      <c r="N908" s="517"/>
      <c r="O908" s="512">
        <f t="shared" si="84"/>
        <v>0</v>
      </c>
      <c r="P908" s="512">
        <f t="shared" si="85"/>
        <v>0</v>
      </c>
      <c r="Q908" s="473"/>
    </row>
    <row r="909" spans="3:17">
      <c r="C909" s="508">
        <f>IF(D870="","-",+C908+1)</f>
        <v>2049</v>
      </c>
      <c r="D909" s="471">
        <f t="shared" si="86"/>
        <v>14260531.647976182</v>
      </c>
      <c r="E909" s="515">
        <f t="shared" si="87"/>
        <v>1501108.5945238094</v>
      </c>
      <c r="F909" s="515">
        <f t="shared" si="80"/>
        <v>12759423.053452373</v>
      </c>
      <c r="G909" s="471">
        <f t="shared" si="81"/>
        <v>13509977.350714277</v>
      </c>
      <c r="H909" s="509">
        <f>+J871*G909+E909</f>
        <v>2989631.4575270526</v>
      </c>
      <c r="I909" s="516">
        <f>+J872*G909+E909</f>
        <v>2989631.4575270526</v>
      </c>
      <c r="J909" s="512">
        <f t="shared" si="82"/>
        <v>0</v>
      </c>
      <c r="K909" s="512"/>
      <c r="L909" s="517"/>
      <c r="M909" s="512">
        <f t="shared" si="83"/>
        <v>0</v>
      </c>
      <c r="N909" s="517"/>
      <c r="O909" s="512">
        <f t="shared" si="84"/>
        <v>0</v>
      </c>
      <c r="P909" s="512">
        <f t="shared" si="85"/>
        <v>0</v>
      </c>
      <c r="Q909" s="473"/>
    </row>
    <row r="910" spans="3:17">
      <c r="C910" s="508">
        <f>IF(D870="","-",+C909+1)</f>
        <v>2050</v>
      </c>
      <c r="D910" s="471">
        <f t="shared" si="86"/>
        <v>12759423.053452373</v>
      </c>
      <c r="E910" s="515">
        <f t="shared" si="87"/>
        <v>1501108.5945238094</v>
      </c>
      <c r="F910" s="515">
        <f t="shared" si="80"/>
        <v>11258314.458928563</v>
      </c>
      <c r="G910" s="471">
        <f t="shared" si="81"/>
        <v>12008868.756190468</v>
      </c>
      <c r="H910" s="509">
        <f>+J871*G910+E910</f>
        <v>2824240.0283044698</v>
      </c>
      <c r="I910" s="516">
        <f>+J872*G910+E910</f>
        <v>2824240.0283044698</v>
      </c>
      <c r="J910" s="512">
        <f t="shared" si="82"/>
        <v>0</v>
      </c>
      <c r="K910" s="512"/>
      <c r="L910" s="517"/>
      <c r="M910" s="512">
        <f t="shared" si="83"/>
        <v>0</v>
      </c>
      <c r="N910" s="517"/>
      <c r="O910" s="512">
        <f t="shared" si="84"/>
        <v>0</v>
      </c>
      <c r="P910" s="512">
        <f t="shared" si="85"/>
        <v>0</v>
      </c>
      <c r="Q910" s="473"/>
    </row>
    <row r="911" spans="3:17">
      <c r="C911" s="508">
        <f>IF(D870="","-",+C910+1)</f>
        <v>2051</v>
      </c>
      <c r="D911" s="471">
        <f t="shared" si="86"/>
        <v>11258314.458928563</v>
      </c>
      <c r="E911" s="515">
        <f t="shared" si="87"/>
        <v>1501108.5945238094</v>
      </c>
      <c r="F911" s="515">
        <f t="shared" si="80"/>
        <v>9757205.8644047529</v>
      </c>
      <c r="G911" s="471">
        <f t="shared" si="81"/>
        <v>10507760.161666658</v>
      </c>
      <c r="H911" s="509">
        <f>+J871*G911+E911</f>
        <v>2658848.5990818869</v>
      </c>
      <c r="I911" s="516">
        <f>+J872*G911+E911</f>
        <v>2658848.5990818869</v>
      </c>
      <c r="J911" s="512">
        <f t="shared" si="82"/>
        <v>0</v>
      </c>
      <c r="K911" s="512"/>
      <c r="L911" s="517"/>
      <c r="M911" s="512">
        <f t="shared" si="83"/>
        <v>0</v>
      </c>
      <c r="N911" s="517"/>
      <c r="O911" s="512">
        <f t="shared" si="84"/>
        <v>0</v>
      </c>
      <c r="P911" s="512">
        <f t="shared" si="85"/>
        <v>0</v>
      </c>
      <c r="Q911" s="473"/>
    </row>
    <row r="912" spans="3:17">
      <c r="C912" s="508">
        <f>IF(D870="","-",+C911+1)</f>
        <v>2052</v>
      </c>
      <c r="D912" s="471">
        <f t="shared" si="86"/>
        <v>9757205.8644047529</v>
      </c>
      <c r="E912" s="515">
        <f t="shared" si="87"/>
        <v>1501108.5945238094</v>
      </c>
      <c r="F912" s="515">
        <f t="shared" si="80"/>
        <v>8256097.269880943</v>
      </c>
      <c r="G912" s="471">
        <f t="shared" si="81"/>
        <v>9006651.5671428479</v>
      </c>
      <c r="H912" s="509">
        <f>+J871*G912+E912</f>
        <v>2493457.1698593041</v>
      </c>
      <c r="I912" s="516">
        <f>+J872*G912+E912</f>
        <v>2493457.1698593041</v>
      </c>
      <c r="J912" s="512">
        <f t="shared" si="82"/>
        <v>0</v>
      </c>
      <c r="K912" s="512"/>
      <c r="L912" s="517"/>
      <c r="M912" s="512">
        <f t="shared" si="83"/>
        <v>0</v>
      </c>
      <c r="N912" s="517"/>
      <c r="O912" s="512">
        <f t="shared" si="84"/>
        <v>0</v>
      </c>
      <c r="P912" s="512">
        <f t="shared" si="85"/>
        <v>0</v>
      </c>
      <c r="Q912" s="473"/>
    </row>
    <row r="913" spans="3:17">
      <c r="C913" s="508">
        <f>IF(D870="","-",+C912+1)</f>
        <v>2053</v>
      </c>
      <c r="D913" s="471">
        <f t="shared" si="86"/>
        <v>8256097.269880943</v>
      </c>
      <c r="E913" s="515">
        <f t="shared" si="87"/>
        <v>1501108.5945238094</v>
      </c>
      <c r="F913" s="515">
        <f t="shared" si="80"/>
        <v>6754988.6753571332</v>
      </c>
      <c r="G913" s="471">
        <f t="shared" si="81"/>
        <v>7505542.9726190381</v>
      </c>
      <c r="H913" s="509">
        <f>+J871*G913+E913</f>
        <v>2328065.7406367217</v>
      </c>
      <c r="I913" s="516">
        <f>+J872*G913+E913</f>
        <v>2328065.7406367217</v>
      </c>
      <c r="J913" s="512">
        <f t="shared" si="82"/>
        <v>0</v>
      </c>
      <c r="K913" s="512"/>
      <c r="L913" s="517"/>
      <c r="M913" s="512">
        <f t="shared" si="83"/>
        <v>0</v>
      </c>
      <c r="N913" s="517"/>
      <c r="O913" s="512">
        <f t="shared" si="84"/>
        <v>0</v>
      </c>
      <c r="P913" s="512">
        <f t="shared" si="85"/>
        <v>0</v>
      </c>
      <c r="Q913" s="473"/>
    </row>
    <row r="914" spans="3:17">
      <c r="C914" s="508">
        <f>IF(D870="","-",+C913+1)</f>
        <v>2054</v>
      </c>
      <c r="D914" s="471">
        <f t="shared" si="86"/>
        <v>6754988.6753571332</v>
      </c>
      <c r="E914" s="515">
        <f t="shared" si="87"/>
        <v>1501108.5945238094</v>
      </c>
      <c r="F914" s="515">
        <f t="shared" si="80"/>
        <v>5253880.0808333233</v>
      </c>
      <c r="G914" s="471">
        <f t="shared" si="81"/>
        <v>6004434.3780952282</v>
      </c>
      <c r="H914" s="509">
        <f>+J871*G914+E914</f>
        <v>2162674.3114141389</v>
      </c>
      <c r="I914" s="516">
        <f>+J872*G914+E914</f>
        <v>2162674.3114141389</v>
      </c>
      <c r="J914" s="512">
        <f t="shared" si="82"/>
        <v>0</v>
      </c>
      <c r="K914" s="512"/>
      <c r="L914" s="517"/>
      <c r="M914" s="512">
        <f t="shared" si="83"/>
        <v>0</v>
      </c>
      <c r="N914" s="517"/>
      <c r="O914" s="512">
        <f t="shared" si="84"/>
        <v>0</v>
      </c>
      <c r="P914" s="512">
        <f t="shared" si="85"/>
        <v>0</v>
      </c>
      <c r="Q914" s="473"/>
    </row>
    <row r="915" spans="3:17">
      <c r="C915" s="508">
        <f>IF(D870="","-",+C914+1)</f>
        <v>2055</v>
      </c>
      <c r="D915" s="471">
        <f t="shared" si="86"/>
        <v>5253880.0808333233</v>
      </c>
      <c r="E915" s="515">
        <f t="shared" si="87"/>
        <v>1501108.5945238094</v>
      </c>
      <c r="F915" s="515">
        <f t="shared" si="80"/>
        <v>3752771.4863095139</v>
      </c>
      <c r="G915" s="471">
        <f t="shared" si="81"/>
        <v>4503325.7835714184</v>
      </c>
      <c r="H915" s="509">
        <f>+J871*G915+E915</f>
        <v>1997282.8821915563</v>
      </c>
      <c r="I915" s="516">
        <f>+J872*G915+E915</f>
        <v>1997282.8821915563</v>
      </c>
      <c r="J915" s="512">
        <f t="shared" si="82"/>
        <v>0</v>
      </c>
      <c r="K915" s="512"/>
      <c r="L915" s="517"/>
      <c r="M915" s="512">
        <f t="shared" si="83"/>
        <v>0</v>
      </c>
      <c r="N915" s="517"/>
      <c r="O915" s="512">
        <f t="shared" si="84"/>
        <v>0</v>
      </c>
      <c r="P915" s="512">
        <f t="shared" si="85"/>
        <v>0</v>
      </c>
      <c r="Q915" s="473"/>
    </row>
    <row r="916" spans="3:17">
      <c r="C916" s="508">
        <f>IF(D870="","-",+C915+1)</f>
        <v>2056</v>
      </c>
      <c r="D916" s="471">
        <f t="shared" si="86"/>
        <v>3752771.4863095139</v>
      </c>
      <c r="E916" s="515">
        <f t="shared" si="87"/>
        <v>1501108.5945238094</v>
      </c>
      <c r="F916" s="515">
        <f t="shared" si="80"/>
        <v>2251662.8917857045</v>
      </c>
      <c r="G916" s="471">
        <f t="shared" si="81"/>
        <v>3002217.1890476095</v>
      </c>
      <c r="H916" s="509">
        <f>+J871*G916+E916</f>
        <v>1831891.4529689737</v>
      </c>
      <c r="I916" s="516">
        <f>+J872*G916+E916</f>
        <v>1831891.4529689737</v>
      </c>
      <c r="J916" s="512">
        <f t="shared" si="82"/>
        <v>0</v>
      </c>
      <c r="K916" s="512"/>
      <c r="L916" s="517"/>
      <c r="M916" s="512">
        <f t="shared" si="83"/>
        <v>0</v>
      </c>
      <c r="N916" s="517"/>
      <c r="O916" s="512">
        <f t="shared" si="84"/>
        <v>0</v>
      </c>
      <c r="P916" s="512">
        <f t="shared" si="85"/>
        <v>0</v>
      </c>
      <c r="Q916" s="473"/>
    </row>
    <row r="917" spans="3:17">
      <c r="C917" s="508">
        <f>IF(D870="","-",+C916+1)</f>
        <v>2057</v>
      </c>
      <c r="D917" s="471">
        <f t="shared" si="86"/>
        <v>2251662.8917857045</v>
      </c>
      <c r="E917" s="515">
        <f t="shared" si="87"/>
        <v>1501108.5945238094</v>
      </c>
      <c r="F917" s="515">
        <f t="shared" si="80"/>
        <v>750554.29726189515</v>
      </c>
      <c r="G917" s="471">
        <f t="shared" si="81"/>
        <v>1501108.5945237998</v>
      </c>
      <c r="H917" s="509">
        <f>+J871*G917+E917</f>
        <v>1666500.0237463911</v>
      </c>
      <c r="I917" s="516">
        <f>+J872*G917+E917</f>
        <v>1666500.0237463911</v>
      </c>
      <c r="J917" s="512">
        <f t="shared" si="82"/>
        <v>0</v>
      </c>
      <c r="K917" s="512"/>
      <c r="L917" s="517"/>
      <c r="M917" s="512">
        <f t="shared" si="83"/>
        <v>0</v>
      </c>
      <c r="N917" s="517"/>
      <c r="O917" s="512">
        <f t="shared" si="84"/>
        <v>0</v>
      </c>
      <c r="P917" s="512">
        <f t="shared" si="85"/>
        <v>0</v>
      </c>
      <c r="Q917" s="473"/>
    </row>
    <row r="918" spans="3:17">
      <c r="C918" s="508">
        <f>IF(D870="","-",+C917+1)</f>
        <v>2058</v>
      </c>
      <c r="D918" s="471">
        <f t="shared" si="86"/>
        <v>750554.29726189515</v>
      </c>
      <c r="E918" s="515">
        <f t="shared" si="87"/>
        <v>750554.29726189515</v>
      </c>
      <c r="F918" s="515">
        <f t="shared" si="80"/>
        <v>0</v>
      </c>
      <c r="G918" s="471">
        <f t="shared" si="81"/>
        <v>375277.14863094757</v>
      </c>
      <c r="H918" s="509">
        <f>+J871*G918+E918</f>
        <v>791902.15456754027</v>
      </c>
      <c r="I918" s="516">
        <f>+J872*G918+E918</f>
        <v>791902.15456754027</v>
      </c>
      <c r="J918" s="512">
        <f t="shared" si="82"/>
        <v>0</v>
      </c>
      <c r="K918" s="512"/>
      <c r="L918" s="517"/>
      <c r="M918" s="512">
        <f t="shared" si="83"/>
        <v>0</v>
      </c>
      <c r="N918" s="517"/>
      <c r="O918" s="512">
        <f t="shared" si="84"/>
        <v>0</v>
      </c>
      <c r="P918" s="512">
        <f t="shared" si="85"/>
        <v>0</v>
      </c>
      <c r="Q918" s="473"/>
    </row>
    <row r="919" spans="3:17">
      <c r="C919" s="508">
        <f>IF(D870="","-",+C918+1)</f>
        <v>2059</v>
      </c>
      <c r="D919" s="471">
        <f t="shared" si="86"/>
        <v>0</v>
      </c>
      <c r="E919" s="515">
        <f t="shared" si="87"/>
        <v>0</v>
      </c>
      <c r="F919" s="515">
        <f t="shared" si="80"/>
        <v>0</v>
      </c>
      <c r="G919" s="471">
        <f t="shared" si="81"/>
        <v>0</v>
      </c>
      <c r="H919" s="509">
        <f>+J871*G919+E919</f>
        <v>0</v>
      </c>
      <c r="I919" s="516">
        <f>+J872*G919+E919</f>
        <v>0</v>
      </c>
      <c r="J919" s="512">
        <f t="shared" si="82"/>
        <v>0</v>
      </c>
      <c r="K919" s="512"/>
      <c r="L919" s="517"/>
      <c r="M919" s="512">
        <f t="shared" si="83"/>
        <v>0</v>
      </c>
      <c r="N919" s="517"/>
      <c r="O919" s="512">
        <f t="shared" si="84"/>
        <v>0</v>
      </c>
      <c r="P919" s="512">
        <f t="shared" si="85"/>
        <v>0</v>
      </c>
      <c r="Q919" s="473"/>
    </row>
    <row r="920" spans="3:17">
      <c r="C920" s="508">
        <f>IF(D870="","-",+C919+1)</f>
        <v>2060</v>
      </c>
      <c r="D920" s="471">
        <f t="shared" si="86"/>
        <v>0</v>
      </c>
      <c r="E920" s="515">
        <f t="shared" si="87"/>
        <v>0</v>
      </c>
      <c r="F920" s="515">
        <f t="shared" si="80"/>
        <v>0</v>
      </c>
      <c r="G920" s="471">
        <f t="shared" si="81"/>
        <v>0</v>
      </c>
      <c r="H920" s="509">
        <f>+J871*G920+E920</f>
        <v>0</v>
      </c>
      <c r="I920" s="516">
        <f>+J872*G920+E920</f>
        <v>0</v>
      </c>
      <c r="J920" s="512">
        <f t="shared" si="82"/>
        <v>0</v>
      </c>
      <c r="K920" s="512"/>
      <c r="L920" s="517"/>
      <c r="M920" s="512">
        <f t="shared" si="83"/>
        <v>0</v>
      </c>
      <c r="N920" s="517"/>
      <c r="O920" s="512">
        <f t="shared" si="84"/>
        <v>0</v>
      </c>
      <c r="P920" s="512">
        <f t="shared" si="85"/>
        <v>0</v>
      </c>
      <c r="Q920" s="473"/>
    </row>
    <row r="921" spans="3:17">
      <c r="C921" s="508">
        <f>IF(D870="","-",+C920+1)</f>
        <v>2061</v>
      </c>
      <c r="D921" s="471">
        <f t="shared" si="86"/>
        <v>0</v>
      </c>
      <c r="E921" s="515">
        <f t="shared" si="87"/>
        <v>0</v>
      </c>
      <c r="F921" s="515">
        <f t="shared" si="80"/>
        <v>0</v>
      </c>
      <c r="G921" s="471">
        <f t="shared" si="81"/>
        <v>0</v>
      </c>
      <c r="H921" s="509">
        <f>+J871*G921+E921</f>
        <v>0</v>
      </c>
      <c r="I921" s="516">
        <f>+J872*G921+E921</f>
        <v>0</v>
      </c>
      <c r="J921" s="512">
        <f t="shared" si="82"/>
        <v>0</v>
      </c>
      <c r="K921" s="512"/>
      <c r="L921" s="517"/>
      <c r="M921" s="512">
        <f t="shared" si="83"/>
        <v>0</v>
      </c>
      <c r="N921" s="517"/>
      <c r="O921" s="512">
        <f t="shared" si="84"/>
        <v>0</v>
      </c>
      <c r="P921" s="512">
        <f t="shared" si="85"/>
        <v>0</v>
      </c>
      <c r="Q921" s="473"/>
    </row>
    <row r="922" spans="3:17">
      <c r="C922" s="508">
        <f>IF(D870="","-",+C921+1)</f>
        <v>2062</v>
      </c>
      <c r="D922" s="471">
        <f t="shared" si="86"/>
        <v>0</v>
      </c>
      <c r="E922" s="515">
        <f t="shared" si="87"/>
        <v>0</v>
      </c>
      <c r="F922" s="515">
        <f t="shared" si="80"/>
        <v>0</v>
      </c>
      <c r="G922" s="471">
        <f t="shared" si="81"/>
        <v>0</v>
      </c>
      <c r="H922" s="509">
        <f>+J871*G922+E922</f>
        <v>0</v>
      </c>
      <c r="I922" s="516">
        <f>+J872*G922+E922</f>
        <v>0</v>
      </c>
      <c r="J922" s="512">
        <f t="shared" si="82"/>
        <v>0</v>
      </c>
      <c r="K922" s="512"/>
      <c r="L922" s="517"/>
      <c r="M922" s="512">
        <f t="shared" si="83"/>
        <v>0</v>
      </c>
      <c r="N922" s="517"/>
      <c r="O922" s="512">
        <f t="shared" si="84"/>
        <v>0</v>
      </c>
      <c r="P922" s="512">
        <f t="shared" si="85"/>
        <v>0</v>
      </c>
      <c r="Q922" s="473"/>
    </row>
    <row r="923" spans="3:17">
      <c r="C923" s="508">
        <f>IF(D870="","-",+C922+1)</f>
        <v>2063</v>
      </c>
      <c r="D923" s="471">
        <f t="shared" si="86"/>
        <v>0</v>
      </c>
      <c r="E923" s="515">
        <f t="shared" si="87"/>
        <v>0</v>
      </c>
      <c r="F923" s="515">
        <f t="shared" si="80"/>
        <v>0</v>
      </c>
      <c r="G923" s="471">
        <f t="shared" si="81"/>
        <v>0</v>
      </c>
      <c r="H923" s="509">
        <f>+J871*G923+E923</f>
        <v>0</v>
      </c>
      <c r="I923" s="516">
        <f>+J872*G923+E923</f>
        <v>0</v>
      </c>
      <c r="J923" s="512">
        <f t="shared" si="82"/>
        <v>0</v>
      </c>
      <c r="K923" s="512"/>
      <c r="L923" s="517"/>
      <c r="M923" s="512">
        <f t="shared" si="83"/>
        <v>0</v>
      </c>
      <c r="N923" s="517"/>
      <c r="O923" s="512">
        <f t="shared" si="84"/>
        <v>0</v>
      </c>
      <c r="P923" s="512">
        <f t="shared" si="85"/>
        <v>0</v>
      </c>
      <c r="Q923" s="473"/>
    </row>
    <row r="924" spans="3:17">
      <c r="C924" s="508">
        <f>IF(D870="","-",+C923+1)</f>
        <v>2064</v>
      </c>
      <c r="D924" s="471">
        <f t="shared" si="86"/>
        <v>0</v>
      </c>
      <c r="E924" s="515">
        <f t="shared" si="87"/>
        <v>0</v>
      </c>
      <c r="F924" s="515">
        <f t="shared" si="80"/>
        <v>0</v>
      </c>
      <c r="G924" s="471">
        <f t="shared" si="81"/>
        <v>0</v>
      </c>
      <c r="H924" s="509">
        <f>+J871*G924+E924</f>
        <v>0</v>
      </c>
      <c r="I924" s="516">
        <f>+J872*G924+E924</f>
        <v>0</v>
      </c>
      <c r="J924" s="512">
        <f t="shared" si="82"/>
        <v>0</v>
      </c>
      <c r="K924" s="512"/>
      <c r="L924" s="517"/>
      <c r="M924" s="512">
        <f t="shared" si="83"/>
        <v>0</v>
      </c>
      <c r="N924" s="517"/>
      <c r="O924" s="512">
        <f t="shared" si="84"/>
        <v>0</v>
      </c>
      <c r="P924" s="512">
        <f t="shared" si="85"/>
        <v>0</v>
      </c>
      <c r="Q924" s="473"/>
    </row>
    <row r="925" spans="3:17">
      <c r="C925" s="508">
        <f>IF(D870="","-",+C924+1)</f>
        <v>2065</v>
      </c>
      <c r="D925" s="471">
        <f t="shared" si="86"/>
        <v>0</v>
      </c>
      <c r="E925" s="515">
        <f t="shared" si="87"/>
        <v>0</v>
      </c>
      <c r="F925" s="515">
        <f t="shared" si="80"/>
        <v>0</v>
      </c>
      <c r="G925" s="471">
        <f t="shared" si="81"/>
        <v>0</v>
      </c>
      <c r="H925" s="509">
        <f>+J871*G925+E925</f>
        <v>0</v>
      </c>
      <c r="I925" s="516">
        <f>+J872*G925+E925</f>
        <v>0</v>
      </c>
      <c r="J925" s="512">
        <f t="shared" si="82"/>
        <v>0</v>
      </c>
      <c r="K925" s="512"/>
      <c r="L925" s="517"/>
      <c r="M925" s="512">
        <f t="shared" si="83"/>
        <v>0</v>
      </c>
      <c r="N925" s="517"/>
      <c r="O925" s="512">
        <f t="shared" si="84"/>
        <v>0</v>
      </c>
      <c r="P925" s="512">
        <f t="shared" si="85"/>
        <v>0</v>
      </c>
      <c r="Q925" s="473"/>
    </row>
    <row r="926" spans="3:17">
      <c r="C926" s="508">
        <f>IF(D870="","-",+C925+1)</f>
        <v>2066</v>
      </c>
      <c r="D926" s="471">
        <f t="shared" si="86"/>
        <v>0</v>
      </c>
      <c r="E926" s="515">
        <f t="shared" si="87"/>
        <v>0</v>
      </c>
      <c r="F926" s="515">
        <f t="shared" si="80"/>
        <v>0</v>
      </c>
      <c r="G926" s="471">
        <f t="shared" si="81"/>
        <v>0</v>
      </c>
      <c r="H926" s="509">
        <f>+J871*G926+E926</f>
        <v>0</v>
      </c>
      <c r="I926" s="516">
        <f>+J872*G926+E926</f>
        <v>0</v>
      </c>
      <c r="J926" s="512">
        <f t="shared" si="82"/>
        <v>0</v>
      </c>
      <c r="K926" s="512"/>
      <c r="L926" s="517"/>
      <c r="M926" s="512">
        <f t="shared" si="83"/>
        <v>0</v>
      </c>
      <c r="N926" s="517"/>
      <c r="O926" s="512">
        <f t="shared" si="84"/>
        <v>0</v>
      </c>
      <c r="P926" s="512">
        <f t="shared" si="85"/>
        <v>0</v>
      </c>
      <c r="Q926" s="473"/>
    </row>
    <row r="927" spans="3:17">
      <c r="C927" s="508">
        <f>IF(D870="","-",+C926+1)</f>
        <v>2067</v>
      </c>
      <c r="D927" s="471">
        <f t="shared" si="86"/>
        <v>0</v>
      </c>
      <c r="E927" s="515">
        <f t="shared" si="87"/>
        <v>0</v>
      </c>
      <c r="F927" s="515">
        <f t="shared" si="80"/>
        <v>0</v>
      </c>
      <c r="G927" s="471">
        <f t="shared" si="81"/>
        <v>0</v>
      </c>
      <c r="H927" s="509">
        <f>+J871*G927+E927</f>
        <v>0</v>
      </c>
      <c r="I927" s="516">
        <f>+J872*G927+E927</f>
        <v>0</v>
      </c>
      <c r="J927" s="512">
        <f t="shared" si="82"/>
        <v>0</v>
      </c>
      <c r="K927" s="512"/>
      <c r="L927" s="517"/>
      <c r="M927" s="512">
        <f t="shared" si="83"/>
        <v>0</v>
      </c>
      <c r="N927" s="517"/>
      <c r="O927" s="512">
        <f t="shared" si="84"/>
        <v>0</v>
      </c>
      <c r="P927" s="512">
        <f t="shared" si="85"/>
        <v>0</v>
      </c>
      <c r="Q927" s="473"/>
    </row>
    <row r="928" spans="3:17">
      <c r="C928" s="508">
        <f>IF(D870="","-",+C927+1)</f>
        <v>2068</v>
      </c>
      <c r="D928" s="471">
        <f t="shared" si="86"/>
        <v>0</v>
      </c>
      <c r="E928" s="515">
        <f t="shared" si="87"/>
        <v>0</v>
      </c>
      <c r="F928" s="515">
        <f t="shared" si="80"/>
        <v>0</v>
      </c>
      <c r="G928" s="471">
        <f t="shared" si="81"/>
        <v>0</v>
      </c>
      <c r="H928" s="509">
        <f>+J871*G928+E928</f>
        <v>0</v>
      </c>
      <c r="I928" s="516">
        <f>+J872*G928+E928</f>
        <v>0</v>
      </c>
      <c r="J928" s="512">
        <f t="shared" si="82"/>
        <v>0</v>
      </c>
      <c r="K928" s="512"/>
      <c r="L928" s="517"/>
      <c r="M928" s="512">
        <f t="shared" si="83"/>
        <v>0</v>
      </c>
      <c r="N928" s="517"/>
      <c r="O928" s="512">
        <f t="shared" si="84"/>
        <v>0</v>
      </c>
      <c r="P928" s="512">
        <f t="shared" si="85"/>
        <v>0</v>
      </c>
      <c r="Q928" s="473"/>
    </row>
    <row r="929" spans="1:17">
      <c r="C929" s="508">
        <f>IF(D870="","-",+C928+1)</f>
        <v>2069</v>
      </c>
      <c r="D929" s="471">
        <f t="shared" si="86"/>
        <v>0</v>
      </c>
      <c r="E929" s="515">
        <f t="shared" si="87"/>
        <v>0</v>
      </c>
      <c r="F929" s="515">
        <f t="shared" si="80"/>
        <v>0</v>
      </c>
      <c r="G929" s="471">
        <f t="shared" si="81"/>
        <v>0</v>
      </c>
      <c r="H929" s="509">
        <f>+J871*G929+E929</f>
        <v>0</v>
      </c>
      <c r="I929" s="516">
        <f>+J872*G929+E929</f>
        <v>0</v>
      </c>
      <c r="J929" s="512">
        <f t="shared" si="82"/>
        <v>0</v>
      </c>
      <c r="K929" s="512"/>
      <c r="L929" s="517"/>
      <c r="M929" s="512">
        <f t="shared" si="83"/>
        <v>0</v>
      </c>
      <c r="N929" s="517"/>
      <c r="O929" s="512">
        <f t="shared" si="84"/>
        <v>0</v>
      </c>
      <c r="P929" s="512">
        <f t="shared" si="85"/>
        <v>0</v>
      </c>
      <c r="Q929" s="473"/>
    </row>
    <row r="930" spans="1:17">
      <c r="C930" s="508">
        <f>IF(D870="","-",+C929+1)</f>
        <v>2070</v>
      </c>
      <c r="D930" s="471">
        <f t="shared" si="86"/>
        <v>0</v>
      </c>
      <c r="E930" s="515">
        <f t="shared" si="87"/>
        <v>0</v>
      </c>
      <c r="F930" s="515">
        <f t="shared" si="80"/>
        <v>0</v>
      </c>
      <c r="G930" s="471">
        <f t="shared" si="81"/>
        <v>0</v>
      </c>
      <c r="H930" s="509">
        <f>+J871*G930+E930</f>
        <v>0</v>
      </c>
      <c r="I930" s="516">
        <f>+J872*G930+E930</f>
        <v>0</v>
      </c>
      <c r="J930" s="512">
        <f t="shared" si="82"/>
        <v>0</v>
      </c>
      <c r="K930" s="512"/>
      <c r="L930" s="517"/>
      <c r="M930" s="512">
        <f t="shared" si="83"/>
        <v>0</v>
      </c>
      <c r="N930" s="517"/>
      <c r="O930" s="512">
        <f t="shared" si="84"/>
        <v>0</v>
      </c>
      <c r="P930" s="512">
        <f t="shared" si="85"/>
        <v>0</v>
      </c>
      <c r="Q930" s="473"/>
    </row>
    <row r="931" spans="1:17">
      <c r="C931" s="508">
        <f>IF(D870="","-",+C930+1)</f>
        <v>2071</v>
      </c>
      <c r="D931" s="471">
        <f t="shared" si="86"/>
        <v>0</v>
      </c>
      <c r="E931" s="515">
        <f t="shared" si="87"/>
        <v>0</v>
      </c>
      <c r="F931" s="515">
        <f t="shared" si="80"/>
        <v>0</v>
      </c>
      <c r="G931" s="471">
        <f t="shared" si="81"/>
        <v>0</v>
      </c>
      <c r="H931" s="509">
        <f>+J871*G931+E931</f>
        <v>0</v>
      </c>
      <c r="I931" s="516">
        <f>+J872*G931+E931</f>
        <v>0</v>
      </c>
      <c r="J931" s="512">
        <f t="shared" si="82"/>
        <v>0</v>
      </c>
      <c r="K931" s="512"/>
      <c r="L931" s="517"/>
      <c r="M931" s="512">
        <f t="shared" si="83"/>
        <v>0</v>
      </c>
      <c r="N931" s="517"/>
      <c r="O931" s="512">
        <f t="shared" si="84"/>
        <v>0</v>
      </c>
      <c r="P931" s="512">
        <f t="shared" si="85"/>
        <v>0</v>
      </c>
      <c r="Q931" s="473"/>
    </row>
    <row r="932" spans="1:17">
      <c r="C932" s="508">
        <f>IF(D870="","-",+C931+1)</f>
        <v>2072</v>
      </c>
      <c r="D932" s="471">
        <f t="shared" si="86"/>
        <v>0</v>
      </c>
      <c r="E932" s="515">
        <f t="shared" si="87"/>
        <v>0</v>
      </c>
      <c r="F932" s="515">
        <f t="shared" si="80"/>
        <v>0</v>
      </c>
      <c r="G932" s="471">
        <f t="shared" si="81"/>
        <v>0</v>
      </c>
      <c r="H932" s="509">
        <f>+J871*G932+E932</f>
        <v>0</v>
      </c>
      <c r="I932" s="516">
        <f>+J872*G932+E932</f>
        <v>0</v>
      </c>
      <c r="J932" s="512">
        <f t="shared" si="82"/>
        <v>0</v>
      </c>
      <c r="K932" s="512"/>
      <c r="L932" s="517"/>
      <c r="M932" s="512">
        <f t="shared" si="83"/>
        <v>0</v>
      </c>
      <c r="N932" s="517"/>
      <c r="O932" s="512">
        <f t="shared" si="84"/>
        <v>0</v>
      </c>
      <c r="P932" s="512">
        <f t="shared" si="85"/>
        <v>0</v>
      </c>
      <c r="Q932" s="473"/>
    </row>
    <row r="933" spans="1:17">
      <c r="C933" s="508">
        <f>IF(D870="","-",+C932+1)</f>
        <v>2073</v>
      </c>
      <c r="D933" s="471">
        <f t="shared" si="86"/>
        <v>0</v>
      </c>
      <c r="E933" s="515">
        <f t="shared" si="87"/>
        <v>0</v>
      </c>
      <c r="F933" s="515">
        <f t="shared" si="80"/>
        <v>0</v>
      </c>
      <c r="G933" s="471">
        <f t="shared" si="81"/>
        <v>0</v>
      </c>
      <c r="H933" s="509">
        <f>+J871*G933+E933</f>
        <v>0</v>
      </c>
      <c r="I933" s="516">
        <f>+J872*G933+E933</f>
        <v>0</v>
      </c>
      <c r="J933" s="512">
        <f t="shared" si="82"/>
        <v>0</v>
      </c>
      <c r="K933" s="512"/>
      <c r="L933" s="517"/>
      <c r="M933" s="512">
        <f t="shared" si="83"/>
        <v>0</v>
      </c>
      <c r="N933" s="517"/>
      <c r="O933" s="512">
        <f t="shared" si="84"/>
        <v>0</v>
      </c>
      <c r="P933" s="512">
        <f t="shared" si="85"/>
        <v>0</v>
      </c>
      <c r="Q933" s="473"/>
    </row>
    <row r="934" spans="1:17">
      <c r="C934" s="508">
        <f>IF(D870="","-",+C933+1)</f>
        <v>2074</v>
      </c>
      <c r="D934" s="471">
        <f t="shared" si="86"/>
        <v>0</v>
      </c>
      <c r="E934" s="515">
        <f t="shared" si="87"/>
        <v>0</v>
      </c>
      <c r="F934" s="515">
        <f t="shared" si="80"/>
        <v>0</v>
      </c>
      <c r="G934" s="471">
        <f t="shared" si="81"/>
        <v>0</v>
      </c>
      <c r="H934" s="509">
        <f>+J871*G934+E934</f>
        <v>0</v>
      </c>
      <c r="I934" s="516">
        <f>+J872*G934+E934</f>
        <v>0</v>
      </c>
      <c r="J934" s="512">
        <f t="shared" si="82"/>
        <v>0</v>
      </c>
      <c r="K934" s="512"/>
      <c r="L934" s="517"/>
      <c r="M934" s="512">
        <f t="shared" si="83"/>
        <v>0</v>
      </c>
      <c r="N934" s="517"/>
      <c r="O934" s="512">
        <f t="shared" si="84"/>
        <v>0</v>
      </c>
      <c r="P934" s="512">
        <f t="shared" si="85"/>
        <v>0</v>
      </c>
      <c r="Q934" s="473"/>
    </row>
    <row r="935" spans="1:17" ht="13.5" thickBot="1">
      <c r="C935" s="520">
        <f>IF(D870="","-",+C934+1)</f>
        <v>2075</v>
      </c>
      <c r="D935" s="521">
        <f t="shared" si="86"/>
        <v>0</v>
      </c>
      <c r="E935" s="522">
        <f t="shared" si="87"/>
        <v>0</v>
      </c>
      <c r="F935" s="522">
        <f t="shared" si="80"/>
        <v>0</v>
      </c>
      <c r="G935" s="521">
        <f t="shared" si="81"/>
        <v>0</v>
      </c>
      <c r="H935" s="523">
        <f>+J871*G935+E935</f>
        <v>0</v>
      </c>
      <c r="I935" s="523">
        <f>+J872*G935+E935</f>
        <v>0</v>
      </c>
      <c r="J935" s="524">
        <f t="shared" si="82"/>
        <v>0</v>
      </c>
      <c r="K935" s="512"/>
      <c r="L935" s="525"/>
      <c r="M935" s="524">
        <f t="shared" si="83"/>
        <v>0</v>
      </c>
      <c r="N935" s="525"/>
      <c r="O935" s="524">
        <f t="shared" si="84"/>
        <v>0</v>
      </c>
      <c r="P935" s="524">
        <f t="shared" si="85"/>
        <v>0</v>
      </c>
      <c r="Q935" s="473"/>
    </row>
    <row r="936" spans="1:17">
      <c r="C936" s="471" t="s">
        <v>288</v>
      </c>
      <c r="D936" s="469"/>
      <c r="E936" s="469">
        <f>SUM(E876:E935)</f>
        <v>63046560.969999999</v>
      </c>
      <c r="F936" s="469"/>
      <c r="G936" s="469"/>
      <c r="H936" s="469">
        <f>SUM(H876:H935)</f>
        <v>212395021.5579921</v>
      </c>
      <c r="I936" s="469">
        <f>SUM(I876:I935)</f>
        <v>212395021.5579921</v>
      </c>
      <c r="J936" s="469">
        <f>SUM(J876:J935)</f>
        <v>0</v>
      </c>
      <c r="K936" s="469"/>
      <c r="L936" s="469"/>
      <c r="M936" s="469"/>
      <c r="N936" s="469"/>
      <c r="O936" s="469"/>
      <c r="Q936" s="469"/>
    </row>
    <row r="937" spans="1:17">
      <c r="D937" s="78"/>
      <c r="E937" s="4"/>
      <c r="F937" s="4"/>
      <c r="G937" s="4"/>
      <c r="H937" s="4"/>
      <c r="I937" s="454"/>
      <c r="J937" s="454"/>
      <c r="K937" s="469"/>
      <c r="L937" s="454"/>
      <c r="M937" s="454"/>
      <c r="N937" s="454"/>
      <c r="O937" s="454"/>
      <c r="Q937" s="469"/>
    </row>
    <row r="938" spans="1:17">
      <c r="C938" s="4" t="s">
        <v>600</v>
      </c>
      <c r="D938" s="78"/>
      <c r="E938" s="4"/>
      <c r="F938" s="4"/>
      <c r="G938" s="4"/>
      <c r="H938" s="4"/>
      <c r="I938" s="454"/>
      <c r="J938" s="454"/>
      <c r="K938" s="469"/>
      <c r="L938" s="454"/>
      <c r="M938" s="454"/>
      <c r="N938" s="454"/>
      <c r="O938" s="454"/>
      <c r="Q938" s="469"/>
    </row>
    <row r="939" spans="1:17">
      <c r="D939" s="78"/>
      <c r="E939" s="4"/>
      <c r="F939" s="4"/>
      <c r="G939" s="4"/>
      <c r="H939" s="4"/>
      <c r="I939" s="454"/>
      <c r="J939" s="454"/>
      <c r="K939" s="469"/>
      <c r="L939" s="454"/>
      <c r="M939" s="454"/>
      <c r="N939" s="454"/>
      <c r="O939" s="454"/>
      <c r="Q939" s="469"/>
    </row>
    <row r="940" spans="1:17">
      <c r="C940" s="4" t="s">
        <v>601</v>
      </c>
      <c r="D940" s="471"/>
      <c r="E940" s="471"/>
      <c r="F940" s="471"/>
      <c r="G940" s="471"/>
      <c r="H940" s="469"/>
      <c r="I940" s="469"/>
      <c r="J940" s="473"/>
      <c r="K940" s="473"/>
      <c r="L940" s="473"/>
      <c r="M940" s="473"/>
      <c r="N940" s="473"/>
      <c r="O940" s="473"/>
      <c r="Q940" s="473"/>
    </row>
    <row r="941" spans="1:17">
      <c r="C941" s="4" t="s">
        <v>476</v>
      </c>
      <c r="D941" s="471"/>
      <c r="E941" s="471"/>
      <c r="F941" s="471"/>
      <c r="G941" s="471"/>
      <c r="H941" s="469"/>
      <c r="I941" s="469"/>
      <c r="J941" s="473"/>
      <c r="K941" s="473"/>
      <c r="L941" s="473"/>
      <c r="M941" s="473"/>
      <c r="N941" s="473"/>
      <c r="O941" s="473"/>
      <c r="Q941" s="473"/>
    </row>
    <row r="942" spans="1:17">
      <c r="C942" s="4" t="s">
        <v>289</v>
      </c>
      <c r="D942" s="471"/>
      <c r="E942" s="471"/>
      <c r="F942" s="471"/>
      <c r="G942" s="471"/>
      <c r="H942" s="469"/>
      <c r="I942" s="469"/>
      <c r="J942" s="473"/>
      <c r="K942" s="473"/>
      <c r="L942" s="473"/>
      <c r="M942" s="473"/>
      <c r="N942" s="473"/>
      <c r="O942" s="473"/>
      <c r="Q942" s="473"/>
    </row>
    <row r="943" spans="1:17" ht="20.25">
      <c r="A943" s="413" t="s">
        <v>767</v>
      </c>
      <c r="B943" s="4"/>
      <c r="C943" s="4"/>
      <c r="D943" s="78"/>
      <c r="E943" s="4"/>
      <c r="F943" s="80"/>
      <c r="G943" s="80"/>
      <c r="H943" s="4"/>
      <c r="I943" s="454"/>
      <c r="L943" s="11"/>
      <c r="M943" s="11"/>
      <c r="N943" s="11"/>
      <c r="O943" s="11" t="str">
        <f>"Page "&amp;SUM(Q$3:Q943)&amp;" of "</f>
        <v xml:space="preserve">Page 12 of </v>
      </c>
      <c r="P943" s="414">
        <f>COUNT(Q$8:Q$58123)</f>
        <v>16</v>
      </c>
      <c r="Q943" s="544">
        <v>1</v>
      </c>
    </row>
    <row r="944" spans="1:17">
      <c r="B944" s="4"/>
      <c r="C944" s="4"/>
      <c r="D944" s="78"/>
      <c r="E944" s="4"/>
      <c r="F944" s="4"/>
      <c r="G944" s="4"/>
      <c r="H944" s="4"/>
      <c r="I944" s="454"/>
      <c r="J944" s="4"/>
      <c r="K944" s="4"/>
    </row>
    <row r="945" spans="1:17" ht="18">
      <c r="B945" s="415" t="s">
        <v>174</v>
      </c>
      <c r="C945" s="474" t="s">
        <v>290</v>
      </c>
      <c r="D945" s="78"/>
      <c r="E945" s="4"/>
      <c r="F945" s="4"/>
      <c r="G945" s="4"/>
      <c r="H945" s="4"/>
      <c r="I945" s="454"/>
      <c r="J945" s="454"/>
      <c r="K945" s="469"/>
      <c r="L945" s="454"/>
      <c r="M945" s="454"/>
      <c r="N945" s="454"/>
      <c r="O945" s="454"/>
      <c r="Q945" s="469"/>
    </row>
    <row r="946" spans="1:17" ht="18.75">
      <c r="B946" s="415"/>
      <c r="C946" s="13"/>
      <c r="D946" s="78"/>
      <c r="E946" s="4"/>
      <c r="F946" s="4"/>
      <c r="G946" s="4"/>
      <c r="H946" s="4"/>
      <c r="I946" s="454"/>
      <c r="J946" s="454"/>
      <c r="K946" s="469"/>
      <c r="L946" s="454"/>
      <c r="M946" s="454"/>
      <c r="N946" s="454"/>
      <c r="O946" s="454"/>
      <c r="Q946" s="469"/>
    </row>
    <row r="947" spans="1:17" ht="18.75">
      <c r="B947" s="415"/>
      <c r="C947" s="13" t="s">
        <v>291</v>
      </c>
      <c r="D947" s="78"/>
      <c r="E947" s="4"/>
      <c r="F947" s="4"/>
      <c r="G947" s="4"/>
      <c r="H947" s="4"/>
      <c r="I947" s="454"/>
      <c r="J947" s="454"/>
      <c r="K947" s="469"/>
      <c r="L947" s="454"/>
      <c r="M947" s="454"/>
      <c r="N947" s="454"/>
      <c r="O947" s="454"/>
      <c r="Q947" s="469"/>
    </row>
    <row r="948" spans="1:17" ht="15.75" thickBot="1">
      <c r="C948" s="250"/>
      <c r="D948" s="78"/>
      <c r="E948" s="4"/>
      <c r="F948" s="4"/>
      <c r="G948" s="4"/>
      <c r="H948" s="4"/>
      <c r="I948" s="454"/>
      <c r="J948" s="454"/>
      <c r="K948" s="469"/>
      <c r="L948" s="454"/>
      <c r="M948" s="454"/>
      <c r="N948" s="454"/>
      <c r="O948" s="454"/>
      <c r="Q948" s="469"/>
    </row>
    <row r="949" spans="1:17" ht="15.75">
      <c r="C949" s="416" t="s">
        <v>292</v>
      </c>
      <c r="D949" s="78"/>
      <c r="E949" s="4"/>
      <c r="F949" s="4"/>
      <c r="G949" s="4"/>
      <c r="H949" s="642"/>
      <c r="I949" s="4" t="s">
        <v>271</v>
      </c>
      <c r="J949" s="4"/>
      <c r="K949" s="4"/>
      <c r="L949" s="545">
        <f>+J955</f>
        <v>2025</v>
      </c>
      <c r="M949" s="529" t="s">
        <v>254</v>
      </c>
      <c r="N949" s="529" t="s">
        <v>255</v>
      </c>
      <c r="O949" s="530" t="s">
        <v>256</v>
      </c>
    </row>
    <row r="950" spans="1:17" ht="15.75">
      <c r="C950" s="416"/>
      <c r="D950" s="78"/>
      <c r="E950" s="4"/>
      <c r="F950" s="4"/>
      <c r="H950" s="4"/>
      <c r="I950" s="478"/>
      <c r="J950" s="478"/>
      <c r="K950" s="479"/>
      <c r="L950" s="546" t="s">
        <v>455</v>
      </c>
      <c r="M950" s="547">
        <f>VLOOKUP(J955,C962:P1021,10)</f>
        <v>27949.246682267229</v>
      </c>
      <c r="N950" s="547">
        <f>VLOOKUP(J955,C962:P1021,12)</f>
        <v>27949.246682267229</v>
      </c>
      <c r="O950" s="548">
        <f>+N950-M950</f>
        <v>0</v>
      </c>
      <c r="Q950" s="479"/>
    </row>
    <row r="951" spans="1:17">
      <c r="C951" s="481" t="s">
        <v>293</v>
      </c>
      <c r="D951" s="1304" t="s">
        <v>939</v>
      </c>
      <c r="E951" s="1304"/>
      <c r="F951" s="1304"/>
      <c r="G951" s="1304"/>
      <c r="H951" s="1304"/>
      <c r="I951" s="454"/>
      <c r="J951" s="454"/>
      <c r="K951" s="469"/>
      <c r="L951" s="546" t="s">
        <v>456</v>
      </c>
      <c r="M951" s="549">
        <f>VLOOKUP(J955,C962:P1021,6)</f>
        <v>27881.452233028584</v>
      </c>
      <c r="N951" s="549">
        <f>VLOOKUP(J955,C962:P1021,7)</f>
        <v>27881.452233028584</v>
      </c>
      <c r="O951" s="550">
        <f>+N951-M951</f>
        <v>0</v>
      </c>
      <c r="Q951" s="469"/>
    </row>
    <row r="952" spans="1:17" ht="13.5" thickBot="1">
      <c r="C952" s="483"/>
      <c r="D952" s="484"/>
      <c r="E952" s="471"/>
      <c r="F952" s="471"/>
      <c r="G952" s="471"/>
      <c r="H952" s="485"/>
      <c r="I952" s="454"/>
      <c r="J952" s="454"/>
      <c r="K952" s="469"/>
      <c r="L952" s="495" t="s">
        <v>457</v>
      </c>
      <c r="M952" s="551">
        <f>+M951-M950</f>
        <v>-67.794449238645029</v>
      </c>
      <c r="N952" s="551">
        <f>+N951-N950</f>
        <v>-67.794449238645029</v>
      </c>
      <c r="O952" s="552">
        <f>+O951-O950</f>
        <v>0</v>
      </c>
      <c r="Q952" s="469"/>
    </row>
    <row r="953" spans="1:17" ht="13.5" thickBot="1">
      <c r="C953" s="483"/>
      <c r="D953" s="4"/>
      <c r="E953" s="485"/>
      <c r="F953" s="485"/>
      <c r="G953" s="485"/>
      <c r="H953" s="485"/>
      <c r="I953" s="485"/>
      <c r="J953" s="485"/>
      <c r="K953" s="485"/>
      <c r="L953" s="485"/>
      <c r="M953" s="485"/>
      <c r="N953" s="485"/>
      <c r="O953" s="485"/>
      <c r="Q953" s="485"/>
    </row>
    <row r="954" spans="1:17" ht="13.5" thickBot="1">
      <c r="C954" s="487" t="s">
        <v>294</v>
      </c>
      <c r="D954" s="488"/>
      <c r="E954" s="488"/>
      <c r="F954" s="488"/>
      <c r="G954" s="488"/>
      <c r="H954" s="488"/>
      <c r="I954" s="488"/>
      <c r="J954" s="488"/>
      <c r="Q954"/>
    </row>
    <row r="955" spans="1:17" ht="15">
      <c r="A955" s="486"/>
      <c r="C955" s="490" t="s">
        <v>272</v>
      </c>
      <c r="D955" s="941">
        <v>267989.22000000003</v>
      </c>
      <c r="E955" s="4" t="s">
        <v>273</v>
      </c>
      <c r="H955" s="78"/>
      <c r="I955" s="78"/>
      <c r="J955" s="491">
        <f>$J$95</f>
        <v>2025</v>
      </c>
      <c r="K955" s="134"/>
      <c r="L955" s="1305" t="s">
        <v>274</v>
      </c>
      <c r="M955" s="1305"/>
      <c r="N955" s="1305"/>
      <c r="O955" s="1305"/>
      <c r="Q955" s="134"/>
    </row>
    <row r="956" spans="1:17">
      <c r="A956" s="486"/>
      <c r="C956" s="490" t="s">
        <v>275</v>
      </c>
      <c r="D956" s="644">
        <v>2014</v>
      </c>
      <c r="E956" s="490" t="s">
        <v>276</v>
      </c>
      <c r="F956" s="78"/>
      <c r="G956" s="78"/>
      <c r="I956"/>
      <c r="J956" s="647">
        <v>0</v>
      </c>
      <c r="K956" s="492"/>
      <c r="L956" s="469" t="s">
        <v>475</v>
      </c>
      <c r="Q956" s="492"/>
    </row>
    <row r="957" spans="1:17">
      <c r="A957" s="486"/>
      <c r="C957" s="490" t="s">
        <v>277</v>
      </c>
      <c r="D957" s="942">
        <v>1</v>
      </c>
      <c r="E957" s="490" t="s">
        <v>278</v>
      </c>
      <c r="F957" s="78"/>
      <c r="G957" s="78"/>
      <c r="I957"/>
      <c r="J957" s="493">
        <f>$F$70</f>
        <v>0.11017952320434825</v>
      </c>
      <c r="K957" s="80"/>
      <c r="L957" s="4" t="str">
        <f>"          INPUT TRUE-UP ARR (WITH &amp; WITHOUT INCENTIVES) FROM EACH PRIOR YEAR"</f>
        <v xml:space="preserve">          INPUT TRUE-UP ARR (WITH &amp; WITHOUT INCENTIVES) FROM EACH PRIOR YEAR</v>
      </c>
      <c r="Q957" s="80"/>
    </row>
    <row r="958" spans="1:17">
      <c r="A958" s="486"/>
      <c r="C958" s="490" t="s">
        <v>279</v>
      </c>
      <c r="D958" s="494">
        <f>H79</f>
        <v>42</v>
      </c>
      <c r="E958" s="490" t="s">
        <v>280</v>
      </c>
      <c r="F958" s="78"/>
      <c r="G958" s="78"/>
      <c r="I958"/>
      <c r="J958" s="493">
        <f>IF(H949="",J957,$F$69)</f>
        <v>0.11017952320434825</v>
      </c>
      <c r="K958" s="80"/>
      <c r="L958" s="4" t="s">
        <v>362</v>
      </c>
      <c r="M958" s="80"/>
      <c r="N958" s="80"/>
      <c r="O958" s="80"/>
      <c r="Q958" s="80"/>
    </row>
    <row r="959" spans="1:17" ht="13.5" thickBot="1">
      <c r="A959" s="486"/>
      <c r="C959" s="490" t="s">
        <v>281</v>
      </c>
      <c r="D959" s="646" t="s">
        <v>929</v>
      </c>
      <c r="E959" s="495" t="s">
        <v>282</v>
      </c>
      <c r="F959" s="496"/>
      <c r="G959" s="496"/>
      <c r="H959" s="497"/>
      <c r="I959" s="497"/>
      <c r="J959" s="482">
        <f>IF(D955=0,0,D955/D958)</f>
        <v>6380.6957142857154</v>
      </c>
      <c r="K959" s="469"/>
      <c r="L959" s="469" t="s">
        <v>363</v>
      </c>
      <c r="M959" s="469"/>
      <c r="N959" s="469"/>
      <c r="O959" s="469"/>
      <c r="Q959" s="469"/>
    </row>
    <row r="960" spans="1:17" ht="38.25">
      <c r="A960" s="12"/>
      <c r="B960" s="12"/>
      <c r="C960" s="498" t="s">
        <v>272</v>
      </c>
      <c r="D960" s="499" t="s">
        <v>283</v>
      </c>
      <c r="E960" s="500" t="s">
        <v>284</v>
      </c>
      <c r="F960" s="499" t="s">
        <v>285</v>
      </c>
      <c r="G960" s="499" t="s">
        <v>458</v>
      </c>
      <c r="H960" s="500" t="s">
        <v>356</v>
      </c>
      <c r="I960" s="501" t="s">
        <v>356</v>
      </c>
      <c r="J960" s="498" t="s">
        <v>295</v>
      </c>
      <c r="K960" s="502"/>
      <c r="L960" s="500" t="s">
        <v>358</v>
      </c>
      <c r="M960" s="500" t="s">
        <v>364</v>
      </c>
      <c r="N960" s="500" t="s">
        <v>358</v>
      </c>
      <c r="O960" s="500" t="s">
        <v>366</v>
      </c>
      <c r="P960" s="500" t="s">
        <v>286</v>
      </c>
      <c r="Q960" s="127"/>
    </row>
    <row r="961" spans="3:17" ht="13.5" thickBot="1">
      <c r="C961" s="503" t="s">
        <v>177</v>
      </c>
      <c r="D961" s="504" t="s">
        <v>178</v>
      </c>
      <c r="E961" s="503" t="s">
        <v>37</v>
      </c>
      <c r="F961" s="504" t="s">
        <v>178</v>
      </c>
      <c r="G961" s="504" t="s">
        <v>178</v>
      </c>
      <c r="H961" s="505" t="s">
        <v>298</v>
      </c>
      <c r="I961" s="506" t="s">
        <v>300</v>
      </c>
      <c r="J961" s="503" t="s">
        <v>389</v>
      </c>
      <c r="K961" s="507"/>
      <c r="L961" s="505" t="s">
        <v>287</v>
      </c>
      <c r="M961" s="505" t="s">
        <v>287</v>
      </c>
      <c r="N961" s="505" t="s">
        <v>467</v>
      </c>
      <c r="O961" s="505" t="s">
        <v>467</v>
      </c>
      <c r="P961" s="505" t="s">
        <v>467</v>
      </c>
      <c r="Q961" s="134"/>
    </row>
    <row r="962" spans="3:17">
      <c r="C962" s="508">
        <f>IF(D956= "","-",D956)</f>
        <v>2014</v>
      </c>
      <c r="D962" s="471">
        <f>+D955</f>
        <v>267989.22000000003</v>
      </c>
      <c r="E962" s="509">
        <f>+J959/12*(12-D957)</f>
        <v>5848.971071428572</v>
      </c>
      <c r="F962" s="553">
        <f t="shared" ref="F962:F1021" si="88">+D962-E962</f>
        <v>262140.24892857147</v>
      </c>
      <c r="G962" s="471">
        <f t="shared" ref="G962:G1021" si="89">+(D962+F962)/2</f>
        <v>265064.73446428578</v>
      </c>
      <c r="H962" s="510">
        <f>+J957*G962+E962</f>
        <v>35053.67713299075</v>
      </c>
      <c r="I962" s="511">
        <f>+J958*G962+E962</f>
        <v>35053.67713299075</v>
      </c>
      <c r="J962" s="512">
        <f t="shared" ref="J962:J1021" si="90">+I962-H962</f>
        <v>0</v>
      </c>
      <c r="K962" s="512"/>
      <c r="L962" s="513">
        <v>0</v>
      </c>
      <c r="M962" s="554">
        <f t="shared" ref="M962:M1021" si="91">IF(L962&lt;&gt;0,+H962-L962,0)</f>
        <v>0</v>
      </c>
      <c r="N962" s="513">
        <v>0</v>
      </c>
      <c r="O962" s="554">
        <f t="shared" ref="O962:O1021" si="92">IF(N962&lt;&gt;0,+I962-N962,0)</f>
        <v>0</v>
      </c>
      <c r="P962" s="554">
        <f t="shared" ref="P962:P1021" si="93">+O962-M962</f>
        <v>0</v>
      </c>
      <c r="Q962" s="473"/>
    </row>
    <row r="963" spans="3:17">
      <c r="C963" s="508">
        <f>IF(D956="","-",+C962+1)</f>
        <v>2015</v>
      </c>
      <c r="D963" s="471">
        <f t="shared" ref="D963:D1021" si="94">F962</f>
        <v>262140.24892857147</v>
      </c>
      <c r="E963" s="515">
        <f>IF(D963&gt;$J$959,$J$959,D963)</f>
        <v>6380.6957142857154</v>
      </c>
      <c r="F963" s="515">
        <f t="shared" si="88"/>
        <v>255759.55321428576</v>
      </c>
      <c r="G963" s="471">
        <f t="shared" si="89"/>
        <v>258949.90107142861</v>
      </c>
      <c r="H963" s="509">
        <f>+J957*G963+E963</f>
        <v>34911.672348148866</v>
      </c>
      <c r="I963" s="516">
        <f>+J958*G963+E963</f>
        <v>34911.672348148866</v>
      </c>
      <c r="J963" s="512">
        <f t="shared" si="90"/>
        <v>0</v>
      </c>
      <c r="K963" s="512"/>
      <c r="L963" s="517">
        <v>0</v>
      </c>
      <c r="M963" s="512">
        <f t="shared" si="91"/>
        <v>0</v>
      </c>
      <c r="N963" s="517">
        <v>0</v>
      </c>
      <c r="O963" s="512">
        <f t="shared" si="92"/>
        <v>0</v>
      </c>
      <c r="P963" s="512">
        <f t="shared" si="93"/>
        <v>0</v>
      </c>
      <c r="Q963" s="473"/>
    </row>
    <row r="964" spans="3:17">
      <c r="C964" s="508">
        <f>IF(D956="","-",+C963+1)</f>
        <v>2016</v>
      </c>
      <c r="D964" s="955">
        <f t="shared" si="94"/>
        <v>255759.55321428576</v>
      </c>
      <c r="E964" s="515">
        <f t="shared" ref="E964:E1021" si="95">IF(D964&gt;$J$959,$J$959,D964)</f>
        <v>6380.6957142857154</v>
      </c>
      <c r="F964" s="515">
        <f t="shared" si="88"/>
        <v>249378.85750000004</v>
      </c>
      <c r="G964" s="471">
        <f t="shared" si="89"/>
        <v>252569.2053571429</v>
      </c>
      <c r="H964" s="509">
        <f>+J957*G964+E964</f>
        <v>34208.650336636842</v>
      </c>
      <c r="I964" s="516">
        <f>+J958*G964+E964</f>
        <v>34208.650336636842</v>
      </c>
      <c r="J964" s="512">
        <f t="shared" si="90"/>
        <v>0</v>
      </c>
      <c r="K964" s="512"/>
      <c r="L964" s="517">
        <v>0</v>
      </c>
      <c r="M964" s="512">
        <f t="shared" si="91"/>
        <v>0</v>
      </c>
      <c r="N964" s="517">
        <v>0</v>
      </c>
      <c r="O964" s="512">
        <f t="shared" si="92"/>
        <v>0</v>
      </c>
      <c r="P964" s="512">
        <f t="shared" si="93"/>
        <v>0</v>
      </c>
      <c r="Q964" s="473"/>
    </row>
    <row r="965" spans="3:17">
      <c r="C965" s="508">
        <f>IF(D956="","-",+C964+1)</f>
        <v>2017</v>
      </c>
      <c r="D965" s="955">
        <f t="shared" si="94"/>
        <v>249378.85750000004</v>
      </c>
      <c r="E965" s="515">
        <f t="shared" si="95"/>
        <v>6380.6957142857154</v>
      </c>
      <c r="F965" s="515">
        <f t="shared" si="88"/>
        <v>242998.16178571433</v>
      </c>
      <c r="G965" s="471">
        <f t="shared" si="89"/>
        <v>246188.50964285719</v>
      </c>
      <c r="H965" s="509">
        <f>+J957*G965+E965</f>
        <v>33505.62832512481</v>
      </c>
      <c r="I965" s="516">
        <f>+J958*G965+E965</f>
        <v>33505.62832512481</v>
      </c>
      <c r="J965" s="512">
        <f t="shared" si="90"/>
        <v>0</v>
      </c>
      <c r="K965" s="512"/>
      <c r="L965" s="517">
        <v>31947</v>
      </c>
      <c r="M965" s="512">
        <f t="shared" si="91"/>
        <v>1558.6283251248096</v>
      </c>
      <c r="N965" s="517">
        <v>31947</v>
      </c>
      <c r="O965" s="512">
        <f t="shared" si="92"/>
        <v>1558.6283251248096</v>
      </c>
      <c r="P965" s="512">
        <f t="shared" si="93"/>
        <v>0</v>
      </c>
      <c r="Q965" s="473"/>
    </row>
    <row r="966" spans="3:17">
      <c r="C966" s="508">
        <f>IF(D956="","-",+C965+1)</f>
        <v>2018</v>
      </c>
      <c r="D966" s="471">
        <f t="shared" si="94"/>
        <v>242998.16178571433</v>
      </c>
      <c r="E966" s="515">
        <f t="shared" si="95"/>
        <v>6380.6957142857154</v>
      </c>
      <c r="F966" s="515">
        <f t="shared" si="88"/>
        <v>236617.46607142861</v>
      </c>
      <c r="G966" s="471">
        <f t="shared" si="89"/>
        <v>239807.81392857147</v>
      </c>
      <c r="H966" s="509">
        <f>+J957*G966+E966</f>
        <v>32802.606313612785</v>
      </c>
      <c r="I966" s="516">
        <f>+J958*G966+E966</f>
        <v>32802.606313612785</v>
      </c>
      <c r="J966" s="512">
        <f t="shared" si="90"/>
        <v>0</v>
      </c>
      <c r="K966" s="512"/>
      <c r="L966" s="517">
        <v>35555</v>
      </c>
      <c r="M966" s="512">
        <f t="shared" si="91"/>
        <v>-2752.393686387215</v>
      </c>
      <c r="N966" s="517">
        <v>35555</v>
      </c>
      <c r="O966" s="512">
        <f t="shared" si="92"/>
        <v>-2752.393686387215</v>
      </c>
      <c r="P966" s="512">
        <f t="shared" si="93"/>
        <v>0</v>
      </c>
      <c r="Q966" s="473"/>
    </row>
    <row r="967" spans="3:17">
      <c r="C967" s="508">
        <f>IF(D956="","-",+C966+1)</f>
        <v>2019</v>
      </c>
      <c r="D967" s="471">
        <f t="shared" si="94"/>
        <v>236617.46607142861</v>
      </c>
      <c r="E967" s="515">
        <f t="shared" si="95"/>
        <v>6380.6957142857154</v>
      </c>
      <c r="F967" s="515">
        <f t="shared" si="88"/>
        <v>230236.7703571429</v>
      </c>
      <c r="G967" s="471">
        <f t="shared" si="89"/>
        <v>233427.11821428576</v>
      </c>
      <c r="H967" s="509">
        <f>+J957*G967+E967</f>
        <v>32099.584302100753</v>
      </c>
      <c r="I967" s="516">
        <f>+J958*G967+E967</f>
        <v>32099.584302100753</v>
      </c>
      <c r="J967" s="512">
        <f t="shared" si="90"/>
        <v>0</v>
      </c>
      <c r="K967" s="512"/>
      <c r="L967" s="517">
        <v>31141</v>
      </c>
      <c r="M967" s="512">
        <f t="shared" si="91"/>
        <v>958.58430210075312</v>
      </c>
      <c r="N967" s="517">
        <v>31141</v>
      </c>
      <c r="O967" s="512">
        <f t="shared" si="92"/>
        <v>958.58430210075312</v>
      </c>
      <c r="P967" s="512">
        <f t="shared" si="93"/>
        <v>0</v>
      </c>
      <c r="Q967" s="473"/>
    </row>
    <row r="968" spans="3:17">
      <c r="C968" s="508">
        <f>IF(D956="","-",+C967+1)</f>
        <v>2020</v>
      </c>
      <c r="D968" s="471">
        <f t="shared" si="94"/>
        <v>230236.7703571429</v>
      </c>
      <c r="E968" s="515">
        <f t="shared" si="95"/>
        <v>6380.6957142857154</v>
      </c>
      <c r="F968" s="515">
        <f t="shared" si="88"/>
        <v>223856.07464285719</v>
      </c>
      <c r="G968" s="471">
        <f t="shared" si="89"/>
        <v>227046.42250000004</v>
      </c>
      <c r="H968" s="509">
        <f>+J957*G968+E968</f>
        <v>31396.562290588729</v>
      </c>
      <c r="I968" s="516">
        <f>+J958*G968+E968</f>
        <v>31396.562290588729</v>
      </c>
      <c r="J968" s="512">
        <f t="shared" si="90"/>
        <v>0</v>
      </c>
      <c r="K968" s="512"/>
      <c r="L968" s="517">
        <v>29632.778508013103</v>
      </c>
      <c r="M968" s="512">
        <f t="shared" si="91"/>
        <v>1763.7837825756251</v>
      </c>
      <c r="N968" s="517">
        <v>29632.778508013103</v>
      </c>
      <c r="O968" s="512">
        <f t="shared" si="92"/>
        <v>1763.7837825756251</v>
      </c>
      <c r="P968" s="512">
        <f t="shared" si="93"/>
        <v>0</v>
      </c>
      <c r="Q968" s="473"/>
    </row>
    <row r="969" spans="3:17">
      <c r="C969" s="508">
        <f>IF(D956="","-",+C968+1)</f>
        <v>2021</v>
      </c>
      <c r="D969" s="471">
        <f t="shared" si="94"/>
        <v>223856.07464285719</v>
      </c>
      <c r="E969" s="515">
        <f t="shared" si="95"/>
        <v>6380.6957142857154</v>
      </c>
      <c r="F969" s="515">
        <f t="shared" si="88"/>
        <v>217475.37892857147</v>
      </c>
      <c r="G969" s="471">
        <f t="shared" si="89"/>
        <v>220665.72678571433</v>
      </c>
      <c r="H969" s="509">
        <f>+J957*G969+E969</f>
        <v>30693.540279076697</v>
      </c>
      <c r="I969" s="516">
        <f>+J958*G969+E969</f>
        <v>30693.540279076697</v>
      </c>
      <c r="J969" s="512">
        <f t="shared" si="90"/>
        <v>0</v>
      </c>
      <c r="K969" s="512"/>
      <c r="L969" s="517">
        <v>29062.167010673293</v>
      </c>
      <c r="M969" s="512">
        <f t="shared" si="91"/>
        <v>1631.3732684034039</v>
      </c>
      <c r="N969" s="517">
        <v>29062.167010673293</v>
      </c>
      <c r="O969" s="512">
        <f t="shared" si="92"/>
        <v>1631.3732684034039</v>
      </c>
      <c r="P969" s="512">
        <f t="shared" si="93"/>
        <v>0</v>
      </c>
      <c r="Q969" s="473"/>
    </row>
    <row r="970" spans="3:17">
      <c r="C970" s="508">
        <f>IF(D956="","-",+C969+1)</f>
        <v>2022</v>
      </c>
      <c r="D970" s="471">
        <f t="shared" si="94"/>
        <v>217475.37892857147</v>
      </c>
      <c r="E970" s="515">
        <f t="shared" si="95"/>
        <v>6380.6957142857154</v>
      </c>
      <c r="F970" s="515">
        <f t="shared" si="88"/>
        <v>211094.68321428576</v>
      </c>
      <c r="G970" s="471">
        <f t="shared" si="89"/>
        <v>214285.03107142862</v>
      </c>
      <c r="H970" s="509">
        <f>+J957*G970+E970</f>
        <v>29990.518267564672</v>
      </c>
      <c r="I970" s="516">
        <f>+J958*G970+E970</f>
        <v>29990.518267564672</v>
      </c>
      <c r="J970" s="512">
        <f t="shared" si="90"/>
        <v>0</v>
      </c>
      <c r="K970" s="512"/>
      <c r="L970" s="517">
        <v>28656.328529869774</v>
      </c>
      <c r="M970" s="512">
        <f t="shared" si="91"/>
        <v>1334.1897376948982</v>
      </c>
      <c r="N970" s="517">
        <v>28656.328529869774</v>
      </c>
      <c r="O970" s="512">
        <f t="shared" si="92"/>
        <v>1334.1897376948982</v>
      </c>
      <c r="P970" s="512">
        <f t="shared" si="93"/>
        <v>0</v>
      </c>
      <c r="Q970" s="473"/>
    </row>
    <row r="971" spans="3:17">
      <c r="C971" s="508">
        <f>IF(D956="","-",+C970+1)</f>
        <v>2023</v>
      </c>
      <c r="D971" s="471">
        <f t="shared" si="94"/>
        <v>211094.68321428576</v>
      </c>
      <c r="E971" s="515">
        <f t="shared" si="95"/>
        <v>6380.6957142857154</v>
      </c>
      <c r="F971" s="515">
        <f t="shared" si="88"/>
        <v>204713.98750000005</v>
      </c>
      <c r="G971" s="471">
        <f t="shared" si="89"/>
        <v>207904.3353571429</v>
      </c>
      <c r="H971" s="509">
        <f>+J957*G971+E971</f>
        <v>29287.49625605264</v>
      </c>
      <c r="I971" s="516">
        <f>+J958*G971+E971</f>
        <v>29287.49625605264</v>
      </c>
      <c r="J971" s="512">
        <f t="shared" si="90"/>
        <v>0</v>
      </c>
      <c r="K971" s="512"/>
      <c r="L971" s="517">
        <v>29426.158755165296</v>
      </c>
      <c r="M971" s="512">
        <f t="shared" si="91"/>
        <v>-138.6624991126555</v>
      </c>
      <c r="N971" s="517">
        <v>29426.158755165296</v>
      </c>
      <c r="O971" s="512">
        <f t="shared" si="92"/>
        <v>-138.6624991126555</v>
      </c>
      <c r="P971" s="512">
        <f t="shared" si="93"/>
        <v>0</v>
      </c>
      <c r="Q971" s="473"/>
    </row>
    <row r="972" spans="3:17">
      <c r="C972" s="508">
        <f>IF(D956="","-",+C971+1)</f>
        <v>2024</v>
      </c>
      <c r="D972" s="471">
        <f t="shared" si="94"/>
        <v>204713.98750000005</v>
      </c>
      <c r="E972" s="515">
        <f t="shared" si="95"/>
        <v>6380.6957142857154</v>
      </c>
      <c r="F972" s="515">
        <f t="shared" si="88"/>
        <v>198333.29178571433</v>
      </c>
      <c r="G972" s="471">
        <f t="shared" si="89"/>
        <v>201523.63964285719</v>
      </c>
      <c r="H972" s="509">
        <f>+J957*G972+E972</f>
        <v>28584.474244540615</v>
      </c>
      <c r="I972" s="516">
        <f>+J958*G972+E972</f>
        <v>28584.474244540615</v>
      </c>
      <c r="J972" s="512">
        <f t="shared" si="90"/>
        <v>0</v>
      </c>
      <c r="K972" s="512"/>
      <c r="L972" s="517">
        <v>28585.028390207699</v>
      </c>
      <c r="M972" s="512">
        <f t="shared" si="91"/>
        <v>-0.55414566708350321</v>
      </c>
      <c r="N972" s="517">
        <v>28585.028390207699</v>
      </c>
      <c r="O972" s="512">
        <f t="shared" si="92"/>
        <v>-0.55414566708350321</v>
      </c>
      <c r="P972" s="512">
        <f t="shared" si="93"/>
        <v>0</v>
      </c>
      <c r="Q972" s="473"/>
    </row>
    <row r="973" spans="3:17">
      <c r="C973" s="508">
        <f>IF(D956="","-",+C972+1)</f>
        <v>2025</v>
      </c>
      <c r="D973" s="471">
        <f t="shared" si="94"/>
        <v>198333.29178571433</v>
      </c>
      <c r="E973" s="515">
        <f t="shared" si="95"/>
        <v>6380.6957142857154</v>
      </c>
      <c r="F973" s="515">
        <f t="shared" si="88"/>
        <v>191952.59607142862</v>
      </c>
      <c r="G973" s="471">
        <f t="shared" si="89"/>
        <v>195142.94392857148</v>
      </c>
      <c r="H973" s="509">
        <f>+J957*G973+E973</f>
        <v>27881.452233028584</v>
      </c>
      <c r="I973" s="516">
        <f>+J958*G973+E973</f>
        <v>27881.452233028584</v>
      </c>
      <c r="J973" s="512">
        <f t="shared" si="90"/>
        <v>0</v>
      </c>
      <c r="K973" s="512"/>
      <c r="L973" s="517">
        <v>27949.246682267229</v>
      </c>
      <c r="M973" s="512">
        <f t="shared" si="91"/>
        <v>-67.794449238645029</v>
      </c>
      <c r="N973" s="517">
        <v>27949.246682267229</v>
      </c>
      <c r="O973" s="512">
        <f t="shared" si="92"/>
        <v>-67.794449238645029</v>
      </c>
      <c r="P973" s="512">
        <f t="shared" si="93"/>
        <v>0</v>
      </c>
      <c r="Q973" s="473"/>
    </row>
    <row r="974" spans="3:17">
      <c r="C974" s="508">
        <f>IF(D956="","-",+C973+1)</f>
        <v>2026</v>
      </c>
      <c r="D974" s="471">
        <f t="shared" si="94"/>
        <v>191952.59607142862</v>
      </c>
      <c r="E974" s="515">
        <f t="shared" si="95"/>
        <v>6380.6957142857154</v>
      </c>
      <c r="F974" s="515">
        <f t="shared" si="88"/>
        <v>185571.90035714291</v>
      </c>
      <c r="G974" s="471">
        <f t="shared" si="89"/>
        <v>188762.24821428576</v>
      </c>
      <c r="H974" s="509">
        <f>+J957*G974+E974</f>
        <v>27178.430221516559</v>
      </c>
      <c r="I974" s="516">
        <f>+J958*G974+E974</f>
        <v>27178.430221516559</v>
      </c>
      <c r="J974" s="512">
        <f t="shared" si="90"/>
        <v>0</v>
      </c>
      <c r="K974" s="512"/>
      <c r="L974" s="517"/>
      <c r="M974" s="512">
        <f t="shared" si="91"/>
        <v>0</v>
      </c>
      <c r="N974" s="517"/>
      <c r="O974" s="512">
        <f t="shared" si="92"/>
        <v>0</v>
      </c>
      <c r="P974" s="512">
        <f t="shared" si="93"/>
        <v>0</v>
      </c>
      <c r="Q974" s="473"/>
    </row>
    <row r="975" spans="3:17">
      <c r="C975" s="508">
        <f>IF(D956="","-",+C974+1)</f>
        <v>2027</v>
      </c>
      <c r="D975" s="471">
        <f t="shared" si="94"/>
        <v>185571.90035714291</v>
      </c>
      <c r="E975" s="515">
        <f t="shared" si="95"/>
        <v>6380.6957142857154</v>
      </c>
      <c r="F975" s="515">
        <f t="shared" si="88"/>
        <v>179191.20464285719</v>
      </c>
      <c r="G975" s="471">
        <f t="shared" si="89"/>
        <v>182381.55250000005</v>
      </c>
      <c r="H975" s="509">
        <f>+J957*G975+E975</f>
        <v>26475.408210004527</v>
      </c>
      <c r="I975" s="516">
        <f>+J958*G975+E975</f>
        <v>26475.408210004527</v>
      </c>
      <c r="J975" s="512">
        <f t="shared" si="90"/>
        <v>0</v>
      </c>
      <c r="K975" s="512"/>
      <c r="L975" s="517"/>
      <c r="M975" s="512">
        <f t="shared" si="91"/>
        <v>0</v>
      </c>
      <c r="N975" s="517"/>
      <c r="O975" s="512">
        <f t="shared" si="92"/>
        <v>0</v>
      </c>
      <c r="P975" s="512">
        <f t="shared" si="93"/>
        <v>0</v>
      </c>
      <c r="Q975" s="473"/>
    </row>
    <row r="976" spans="3:17">
      <c r="C976" s="508">
        <f>IF(D956="","-",+C975+1)</f>
        <v>2028</v>
      </c>
      <c r="D976" s="471">
        <f t="shared" si="94"/>
        <v>179191.20464285719</v>
      </c>
      <c r="E976" s="515">
        <f t="shared" si="95"/>
        <v>6380.6957142857154</v>
      </c>
      <c r="F976" s="515">
        <f t="shared" si="88"/>
        <v>172810.50892857148</v>
      </c>
      <c r="G976" s="471">
        <f t="shared" si="89"/>
        <v>176000.85678571434</v>
      </c>
      <c r="H976" s="509">
        <f>+J957*G976+E976</f>
        <v>25772.386198492502</v>
      </c>
      <c r="I976" s="516">
        <f>+J958*G976+E976</f>
        <v>25772.386198492502</v>
      </c>
      <c r="J976" s="512">
        <f t="shared" si="90"/>
        <v>0</v>
      </c>
      <c r="K976" s="512"/>
      <c r="L976" s="517"/>
      <c r="M976" s="512">
        <f t="shared" si="91"/>
        <v>0</v>
      </c>
      <c r="N976" s="517"/>
      <c r="O976" s="512">
        <f t="shared" si="92"/>
        <v>0</v>
      </c>
      <c r="P976" s="512">
        <f t="shared" si="93"/>
        <v>0</v>
      </c>
      <c r="Q976" s="473"/>
    </row>
    <row r="977" spans="3:17">
      <c r="C977" s="508">
        <f>IF(D956="","-",+C976+1)</f>
        <v>2029</v>
      </c>
      <c r="D977" s="471">
        <f t="shared" si="94"/>
        <v>172810.50892857148</v>
      </c>
      <c r="E977" s="515">
        <f t="shared" si="95"/>
        <v>6380.6957142857154</v>
      </c>
      <c r="F977" s="515">
        <f t="shared" si="88"/>
        <v>166429.81321428576</v>
      </c>
      <c r="G977" s="471">
        <f t="shared" si="89"/>
        <v>169620.16107142862</v>
      </c>
      <c r="H977" s="509">
        <f>+J957*G977+E977</f>
        <v>25069.364186980471</v>
      </c>
      <c r="I977" s="516">
        <f>+J958*G977+E977</f>
        <v>25069.364186980471</v>
      </c>
      <c r="J977" s="512">
        <f t="shared" si="90"/>
        <v>0</v>
      </c>
      <c r="K977" s="512"/>
      <c r="L977" s="517"/>
      <c r="M977" s="512">
        <f t="shared" si="91"/>
        <v>0</v>
      </c>
      <c r="N977" s="517"/>
      <c r="O977" s="512">
        <f t="shared" si="92"/>
        <v>0</v>
      </c>
      <c r="P977" s="512">
        <f t="shared" si="93"/>
        <v>0</v>
      </c>
      <c r="Q977" s="473"/>
    </row>
    <row r="978" spans="3:17">
      <c r="C978" s="508">
        <f>IF(D956="","-",+C977+1)</f>
        <v>2030</v>
      </c>
      <c r="D978" s="471">
        <f t="shared" si="94"/>
        <v>166429.81321428576</v>
      </c>
      <c r="E978" s="515">
        <f t="shared" si="95"/>
        <v>6380.6957142857154</v>
      </c>
      <c r="F978" s="515">
        <f t="shared" si="88"/>
        <v>160049.11750000005</v>
      </c>
      <c r="G978" s="471">
        <f t="shared" si="89"/>
        <v>163239.46535714291</v>
      </c>
      <c r="H978" s="509">
        <f>+J957*G978+E978</f>
        <v>24366.342175468446</v>
      </c>
      <c r="I978" s="516">
        <f>+J958*G978+E978</f>
        <v>24366.342175468446</v>
      </c>
      <c r="J978" s="512">
        <f t="shared" si="90"/>
        <v>0</v>
      </c>
      <c r="K978" s="512"/>
      <c r="L978" s="517"/>
      <c r="M978" s="512">
        <f t="shared" si="91"/>
        <v>0</v>
      </c>
      <c r="N978" s="517"/>
      <c r="O978" s="512">
        <f t="shared" si="92"/>
        <v>0</v>
      </c>
      <c r="P978" s="512">
        <f t="shared" si="93"/>
        <v>0</v>
      </c>
      <c r="Q978" s="473"/>
    </row>
    <row r="979" spans="3:17">
      <c r="C979" s="508">
        <f>IF(D956="","-",+C978+1)</f>
        <v>2031</v>
      </c>
      <c r="D979" s="471">
        <f t="shared" si="94"/>
        <v>160049.11750000005</v>
      </c>
      <c r="E979" s="515">
        <f t="shared" si="95"/>
        <v>6380.6957142857154</v>
      </c>
      <c r="F979" s="515">
        <f t="shared" si="88"/>
        <v>153668.42178571434</v>
      </c>
      <c r="G979" s="471">
        <f t="shared" si="89"/>
        <v>156858.76964285719</v>
      </c>
      <c r="H979" s="509">
        <f>+J957*G979+E979</f>
        <v>23663.320163956414</v>
      </c>
      <c r="I979" s="516">
        <f>+J958*G979+E979</f>
        <v>23663.320163956414</v>
      </c>
      <c r="J979" s="512">
        <f t="shared" si="90"/>
        <v>0</v>
      </c>
      <c r="K979" s="512"/>
      <c r="L979" s="517"/>
      <c r="M979" s="512">
        <f t="shared" si="91"/>
        <v>0</v>
      </c>
      <c r="N979" s="517"/>
      <c r="O979" s="512">
        <f t="shared" si="92"/>
        <v>0</v>
      </c>
      <c r="P979" s="512">
        <f t="shared" si="93"/>
        <v>0</v>
      </c>
      <c r="Q979" s="473"/>
    </row>
    <row r="980" spans="3:17">
      <c r="C980" s="508">
        <f>IF(D956="","-",+C979+1)</f>
        <v>2032</v>
      </c>
      <c r="D980" s="471">
        <f t="shared" si="94"/>
        <v>153668.42178571434</v>
      </c>
      <c r="E980" s="515">
        <f t="shared" si="95"/>
        <v>6380.6957142857154</v>
      </c>
      <c r="F980" s="515">
        <f t="shared" si="88"/>
        <v>147287.72607142862</v>
      </c>
      <c r="G980" s="471">
        <f t="shared" si="89"/>
        <v>150478.07392857148</v>
      </c>
      <c r="H980" s="509">
        <f>+J957*G980+E980</f>
        <v>22960.298152444389</v>
      </c>
      <c r="I980" s="516">
        <f>+J958*G980+E980</f>
        <v>22960.298152444389</v>
      </c>
      <c r="J980" s="512">
        <f t="shared" si="90"/>
        <v>0</v>
      </c>
      <c r="K980" s="512"/>
      <c r="L980" s="517"/>
      <c r="M980" s="512">
        <f t="shared" si="91"/>
        <v>0</v>
      </c>
      <c r="N980" s="517"/>
      <c r="O980" s="512">
        <f t="shared" si="92"/>
        <v>0</v>
      </c>
      <c r="P980" s="512">
        <f t="shared" si="93"/>
        <v>0</v>
      </c>
      <c r="Q980" s="473"/>
    </row>
    <row r="981" spans="3:17">
      <c r="C981" s="508">
        <f>IF(D956="","-",+C980+1)</f>
        <v>2033</v>
      </c>
      <c r="D981" s="471">
        <f t="shared" si="94"/>
        <v>147287.72607142862</v>
      </c>
      <c r="E981" s="515">
        <f t="shared" si="95"/>
        <v>6380.6957142857154</v>
      </c>
      <c r="F981" s="515">
        <f t="shared" si="88"/>
        <v>140907.03035714291</v>
      </c>
      <c r="G981" s="471">
        <f t="shared" si="89"/>
        <v>144097.37821428577</v>
      </c>
      <c r="H981" s="509">
        <f>+J957*G981+E981</f>
        <v>22257.276140932358</v>
      </c>
      <c r="I981" s="516">
        <f>+J958*G981+E981</f>
        <v>22257.276140932358</v>
      </c>
      <c r="J981" s="512">
        <f t="shared" si="90"/>
        <v>0</v>
      </c>
      <c r="K981" s="512"/>
      <c r="L981" s="517"/>
      <c r="M981" s="512">
        <f t="shared" si="91"/>
        <v>0</v>
      </c>
      <c r="N981" s="517"/>
      <c r="O981" s="512">
        <f t="shared" si="92"/>
        <v>0</v>
      </c>
      <c r="P981" s="512">
        <f t="shared" si="93"/>
        <v>0</v>
      </c>
      <c r="Q981" s="473"/>
    </row>
    <row r="982" spans="3:17">
      <c r="C982" s="508">
        <f>IF(D956="","-",+C981+1)</f>
        <v>2034</v>
      </c>
      <c r="D982" s="471">
        <f t="shared" si="94"/>
        <v>140907.03035714291</v>
      </c>
      <c r="E982" s="515">
        <f t="shared" si="95"/>
        <v>6380.6957142857154</v>
      </c>
      <c r="F982" s="515">
        <f t="shared" si="88"/>
        <v>134526.3346428572</v>
      </c>
      <c r="G982" s="471">
        <f t="shared" si="89"/>
        <v>137716.68250000005</v>
      </c>
      <c r="H982" s="509">
        <f>+J957*G982+E982</f>
        <v>21554.254129420333</v>
      </c>
      <c r="I982" s="516">
        <f>+J958*G982+E982</f>
        <v>21554.254129420333</v>
      </c>
      <c r="J982" s="512">
        <f t="shared" si="90"/>
        <v>0</v>
      </c>
      <c r="K982" s="512"/>
      <c r="L982" s="517"/>
      <c r="M982" s="512">
        <f t="shared" si="91"/>
        <v>0</v>
      </c>
      <c r="N982" s="517"/>
      <c r="O982" s="512">
        <f t="shared" si="92"/>
        <v>0</v>
      </c>
      <c r="P982" s="512">
        <f t="shared" si="93"/>
        <v>0</v>
      </c>
      <c r="Q982" s="473"/>
    </row>
    <row r="983" spans="3:17">
      <c r="C983" s="508">
        <f>IF(D956="","-",+C982+1)</f>
        <v>2035</v>
      </c>
      <c r="D983" s="471">
        <f t="shared" si="94"/>
        <v>134526.3346428572</v>
      </c>
      <c r="E983" s="515">
        <f t="shared" si="95"/>
        <v>6380.6957142857154</v>
      </c>
      <c r="F983" s="515">
        <f t="shared" si="88"/>
        <v>128145.63892857148</v>
      </c>
      <c r="G983" s="471">
        <f t="shared" si="89"/>
        <v>131335.98678571434</v>
      </c>
      <c r="H983" s="509">
        <f>+J957*G983+E983</f>
        <v>20851.232117908301</v>
      </c>
      <c r="I983" s="516">
        <f>+J958*G983+E983</f>
        <v>20851.232117908301</v>
      </c>
      <c r="J983" s="512">
        <f t="shared" si="90"/>
        <v>0</v>
      </c>
      <c r="K983" s="512"/>
      <c r="L983" s="517"/>
      <c r="M983" s="512">
        <f t="shared" si="91"/>
        <v>0</v>
      </c>
      <c r="N983" s="517"/>
      <c r="O983" s="512">
        <f t="shared" si="92"/>
        <v>0</v>
      </c>
      <c r="P983" s="512">
        <f t="shared" si="93"/>
        <v>0</v>
      </c>
      <c r="Q983" s="473"/>
    </row>
    <row r="984" spans="3:17">
      <c r="C984" s="508">
        <f>IF(D956="","-",+C983+1)</f>
        <v>2036</v>
      </c>
      <c r="D984" s="471">
        <f t="shared" si="94"/>
        <v>128145.63892857148</v>
      </c>
      <c r="E984" s="515">
        <f t="shared" si="95"/>
        <v>6380.6957142857154</v>
      </c>
      <c r="F984" s="515">
        <f t="shared" si="88"/>
        <v>121764.94321428577</v>
      </c>
      <c r="G984" s="471">
        <f t="shared" si="89"/>
        <v>124955.29107142863</v>
      </c>
      <c r="H984" s="509">
        <f>+J957*G984+E984</f>
        <v>20148.210106396276</v>
      </c>
      <c r="I984" s="516">
        <f>+J958*G984+E984</f>
        <v>20148.210106396276</v>
      </c>
      <c r="J984" s="512">
        <f t="shared" si="90"/>
        <v>0</v>
      </c>
      <c r="K984" s="512"/>
      <c r="L984" s="517"/>
      <c r="M984" s="512">
        <f t="shared" si="91"/>
        <v>0</v>
      </c>
      <c r="N984" s="517"/>
      <c r="O984" s="512">
        <f t="shared" si="92"/>
        <v>0</v>
      </c>
      <c r="P984" s="512">
        <f t="shared" si="93"/>
        <v>0</v>
      </c>
      <c r="Q984" s="473"/>
    </row>
    <row r="985" spans="3:17">
      <c r="C985" s="508">
        <f>IF(D956="","-",+C984+1)</f>
        <v>2037</v>
      </c>
      <c r="D985" s="471">
        <f t="shared" si="94"/>
        <v>121764.94321428577</v>
      </c>
      <c r="E985" s="515">
        <f t="shared" si="95"/>
        <v>6380.6957142857154</v>
      </c>
      <c r="F985" s="515">
        <f t="shared" si="88"/>
        <v>115384.24750000006</v>
      </c>
      <c r="G985" s="471">
        <f t="shared" si="89"/>
        <v>118574.59535714291</v>
      </c>
      <c r="H985" s="509">
        <f>+J957*G985+E985</f>
        <v>19445.188094884244</v>
      </c>
      <c r="I985" s="516">
        <f>+J958*G985+E985</f>
        <v>19445.188094884244</v>
      </c>
      <c r="J985" s="512">
        <f t="shared" si="90"/>
        <v>0</v>
      </c>
      <c r="K985" s="512"/>
      <c r="L985" s="517"/>
      <c r="M985" s="512">
        <f t="shared" si="91"/>
        <v>0</v>
      </c>
      <c r="N985" s="517"/>
      <c r="O985" s="512">
        <f t="shared" si="92"/>
        <v>0</v>
      </c>
      <c r="P985" s="512">
        <f t="shared" si="93"/>
        <v>0</v>
      </c>
      <c r="Q985" s="473"/>
    </row>
    <row r="986" spans="3:17">
      <c r="C986" s="508">
        <f>IF(D956="","-",+C985+1)</f>
        <v>2038</v>
      </c>
      <c r="D986" s="471">
        <f t="shared" si="94"/>
        <v>115384.24750000006</v>
      </c>
      <c r="E986" s="515">
        <f t="shared" si="95"/>
        <v>6380.6957142857154</v>
      </c>
      <c r="F986" s="515">
        <f t="shared" si="88"/>
        <v>109003.55178571434</v>
      </c>
      <c r="G986" s="471">
        <f t="shared" si="89"/>
        <v>112193.8996428572</v>
      </c>
      <c r="H986" s="509">
        <f>+J957*G986+E986</f>
        <v>18742.16608337222</v>
      </c>
      <c r="I986" s="516">
        <f>+J958*G986+E986</f>
        <v>18742.16608337222</v>
      </c>
      <c r="J986" s="512">
        <f t="shared" si="90"/>
        <v>0</v>
      </c>
      <c r="K986" s="512"/>
      <c r="L986" s="517"/>
      <c r="M986" s="512">
        <f t="shared" si="91"/>
        <v>0</v>
      </c>
      <c r="N986" s="517"/>
      <c r="O986" s="512">
        <f t="shared" si="92"/>
        <v>0</v>
      </c>
      <c r="P986" s="512">
        <f t="shared" si="93"/>
        <v>0</v>
      </c>
      <c r="Q986" s="473"/>
    </row>
    <row r="987" spans="3:17">
      <c r="C987" s="508">
        <f>IF(D956="","-",+C986+1)</f>
        <v>2039</v>
      </c>
      <c r="D987" s="471">
        <f t="shared" si="94"/>
        <v>109003.55178571434</v>
      </c>
      <c r="E987" s="515">
        <f t="shared" si="95"/>
        <v>6380.6957142857154</v>
      </c>
      <c r="F987" s="515">
        <f t="shared" si="88"/>
        <v>102622.85607142863</v>
      </c>
      <c r="G987" s="471">
        <f t="shared" si="89"/>
        <v>105813.20392857149</v>
      </c>
      <c r="H987" s="509">
        <f>+J957*G987+E987</f>
        <v>18039.144071860188</v>
      </c>
      <c r="I987" s="516">
        <f>+J958*G987+E987</f>
        <v>18039.144071860188</v>
      </c>
      <c r="J987" s="512">
        <f t="shared" si="90"/>
        <v>0</v>
      </c>
      <c r="K987" s="512"/>
      <c r="L987" s="517"/>
      <c r="M987" s="512">
        <f t="shared" si="91"/>
        <v>0</v>
      </c>
      <c r="N987" s="517"/>
      <c r="O987" s="512">
        <f t="shared" si="92"/>
        <v>0</v>
      </c>
      <c r="P987" s="512">
        <f t="shared" si="93"/>
        <v>0</v>
      </c>
      <c r="Q987" s="473"/>
    </row>
    <row r="988" spans="3:17">
      <c r="C988" s="508">
        <f>IF(D956="","-",+C987+1)</f>
        <v>2040</v>
      </c>
      <c r="D988" s="471">
        <f t="shared" si="94"/>
        <v>102622.85607142863</v>
      </c>
      <c r="E988" s="515">
        <f t="shared" si="95"/>
        <v>6380.6957142857154</v>
      </c>
      <c r="F988" s="515">
        <f t="shared" si="88"/>
        <v>96242.160357142915</v>
      </c>
      <c r="G988" s="471">
        <f t="shared" si="89"/>
        <v>99432.508214285772</v>
      </c>
      <c r="H988" s="509">
        <f>+J957*G988+E988</f>
        <v>17336.122060348163</v>
      </c>
      <c r="I988" s="516">
        <f>+J958*G988+E988</f>
        <v>17336.122060348163</v>
      </c>
      <c r="J988" s="512">
        <f t="shared" si="90"/>
        <v>0</v>
      </c>
      <c r="K988" s="512"/>
      <c r="L988" s="517"/>
      <c r="M988" s="512">
        <f t="shared" si="91"/>
        <v>0</v>
      </c>
      <c r="N988" s="517"/>
      <c r="O988" s="512">
        <f t="shared" si="92"/>
        <v>0</v>
      </c>
      <c r="P988" s="512">
        <f t="shared" si="93"/>
        <v>0</v>
      </c>
      <c r="Q988" s="473"/>
    </row>
    <row r="989" spans="3:17">
      <c r="C989" s="508">
        <f>IF(D956="","-",+C988+1)</f>
        <v>2041</v>
      </c>
      <c r="D989" s="471">
        <f t="shared" si="94"/>
        <v>96242.160357142915</v>
      </c>
      <c r="E989" s="515">
        <f t="shared" si="95"/>
        <v>6380.6957142857154</v>
      </c>
      <c r="F989" s="515">
        <f t="shared" si="88"/>
        <v>89861.464642857201</v>
      </c>
      <c r="G989" s="471">
        <f t="shared" si="89"/>
        <v>93051.812500000058</v>
      </c>
      <c r="H989" s="509">
        <f>+J957*G989+E989</f>
        <v>16633.100048836135</v>
      </c>
      <c r="I989" s="516">
        <f>+J958*G989+E989</f>
        <v>16633.100048836135</v>
      </c>
      <c r="J989" s="512">
        <f t="shared" si="90"/>
        <v>0</v>
      </c>
      <c r="K989" s="512"/>
      <c r="L989" s="517"/>
      <c r="M989" s="512">
        <f t="shared" si="91"/>
        <v>0</v>
      </c>
      <c r="N989" s="517"/>
      <c r="O989" s="512">
        <f t="shared" si="92"/>
        <v>0</v>
      </c>
      <c r="P989" s="512">
        <f t="shared" si="93"/>
        <v>0</v>
      </c>
      <c r="Q989" s="473"/>
    </row>
    <row r="990" spans="3:17">
      <c r="C990" s="508">
        <f>IF(D956="","-",+C989+1)</f>
        <v>2042</v>
      </c>
      <c r="D990" s="471">
        <f t="shared" si="94"/>
        <v>89861.464642857201</v>
      </c>
      <c r="E990" s="515">
        <f t="shared" si="95"/>
        <v>6380.6957142857154</v>
      </c>
      <c r="F990" s="515">
        <f t="shared" si="88"/>
        <v>83480.768928571488</v>
      </c>
      <c r="G990" s="471">
        <f t="shared" si="89"/>
        <v>86671.116785714345</v>
      </c>
      <c r="H990" s="509">
        <f>+J957*G990+E990</f>
        <v>15930.078037324107</v>
      </c>
      <c r="I990" s="516">
        <f>+J958*G990+E990</f>
        <v>15930.078037324107</v>
      </c>
      <c r="J990" s="512">
        <f t="shared" si="90"/>
        <v>0</v>
      </c>
      <c r="K990" s="512"/>
      <c r="L990" s="517"/>
      <c r="M990" s="512">
        <f t="shared" si="91"/>
        <v>0</v>
      </c>
      <c r="N990" s="517"/>
      <c r="O990" s="512">
        <f t="shared" si="92"/>
        <v>0</v>
      </c>
      <c r="P990" s="512">
        <f t="shared" si="93"/>
        <v>0</v>
      </c>
      <c r="Q990" s="473"/>
    </row>
    <row r="991" spans="3:17">
      <c r="C991" s="508">
        <f>IF(D956="","-",+C990+1)</f>
        <v>2043</v>
      </c>
      <c r="D991" s="471">
        <f t="shared" si="94"/>
        <v>83480.768928571488</v>
      </c>
      <c r="E991" s="515">
        <f t="shared" si="95"/>
        <v>6380.6957142857154</v>
      </c>
      <c r="F991" s="515">
        <f t="shared" si="88"/>
        <v>77100.073214285774</v>
      </c>
      <c r="G991" s="471">
        <f t="shared" si="89"/>
        <v>80290.421071428631</v>
      </c>
      <c r="H991" s="509">
        <f>+J957*G991+E991</f>
        <v>15227.056025812079</v>
      </c>
      <c r="I991" s="516">
        <f>+J958*G991+E991</f>
        <v>15227.056025812079</v>
      </c>
      <c r="J991" s="512">
        <f t="shared" si="90"/>
        <v>0</v>
      </c>
      <c r="K991" s="512"/>
      <c r="L991" s="517"/>
      <c r="M991" s="512">
        <f t="shared" si="91"/>
        <v>0</v>
      </c>
      <c r="N991" s="517"/>
      <c r="O991" s="512">
        <f t="shared" si="92"/>
        <v>0</v>
      </c>
      <c r="P991" s="512">
        <f t="shared" si="93"/>
        <v>0</v>
      </c>
      <c r="Q991" s="473"/>
    </row>
    <row r="992" spans="3:17">
      <c r="C992" s="508">
        <f>IF(D956="","-",+C991+1)</f>
        <v>2044</v>
      </c>
      <c r="D992" s="471">
        <f t="shared" si="94"/>
        <v>77100.073214285774</v>
      </c>
      <c r="E992" s="515">
        <f t="shared" si="95"/>
        <v>6380.6957142857154</v>
      </c>
      <c r="F992" s="515">
        <f t="shared" si="88"/>
        <v>70719.377500000061</v>
      </c>
      <c r="G992" s="471">
        <f t="shared" si="89"/>
        <v>73909.725357142917</v>
      </c>
      <c r="H992" s="509">
        <f>+J957*G992+E992</f>
        <v>14524.03401430005</v>
      </c>
      <c r="I992" s="516">
        <f>+J958*G992+E992</f>
        <v>14524.03401430005</v>
      </c>
      <c r="J992" s="512">
        <f t="shared" si="90"/>
        <v>0</v>
      </c>
      <c r="K992" s="512"/>
      <c r="L992" s="517"/>
      <c r="M992" s="512">
        <f t="shared" si="91"/>
        <v>0</v>
      </c>
      <c r="N992" s="517"/>
      <c r="O992" s="512">
        <f t="shared" si="92"/>
        <v>0</v>
      </c>
      <c r="P992" s="512">
        <f t="shared" si="93"/>
        <v>0</v>
      </c>
      <c r="Q992" s="473"/>
    </row>
    <row r="993" spans="3:17">
      <c r="C993" s="508">
        <f>IF(D956="","-",+C992+1)</f>
        <v>2045</v>
      </c>
      <c r="D993" s="471">
        <f t="shared" si="94"/>
        <v>70719.377500000061</v>
      </c>
      <c r="E993" s="515">
        <f t="shared" si="95"/>
        <v>6380.6957142857154</v>
      </c>
      <c r="F993" s="515">
        <f t="shared" si="88"/>
        <v>64338.681785714347</v>
      </c>
      <c r="G993" s="471">
        <f t="shared" si="89"/>
        <v>67529.029642857204</v>
      </c>
      <c r="H993" s="509">
        <f>+J957*G993+E993</f>
        <v>13821.012002788022</v>
      </c>
      <c r="I993" s="516">
        <f>+J958*G993+E993</f>
        <v>13821.012002788022</v>
      </c>
      <c r="J993" s="512">
        <f t="shared" si="90"/>
        <v>0</v>
      </c>
      <c r="K993" s="512"/>
      <c r="L993" s="517"/>
      <c r="M993" s="512">
        <f t="shared" si="91"/>
        <v>0</v>
      </c>
      <c r="N993" s="517"/>
      <c r="O993" s="512">
        <f t="shared" si="92"/>
        <v>0</v>
      </c>
      <c r="P993" s="512">
        <f t="shared" si="93"/>
        <v>0</v>
      </c>
      <c r="Q993" s="473"/>
    </row>
    <row r="994" spans="3:17">
      <c r="C994" s="508">
        <f>IF(D956="","-",+C993+1)</f>
        <v>2046</v>
      </c>
      <c r="D994" s="471">
        <f t="shared" si="94"/>
        <v>64338.681785714347</v>
      </c>
      <c r="E994" s="515">
        <f t="shared" si="95"/>
        <v>6380.6957142857154</v>
      </c>
      <c r="F994" s="515">
        <f t="shared" si="88"/>
        <v>57957.986071428633</v>
      </c>
      <c r="G994" s="471">
        <f t="shared" si="89"/>
        <v>61148.33392857149</v>
      </c>
      <c r="H994" s="509">
        <f>+J957*G994+E994</f>
        <v>13117.989991275994</v>
      </c>
      <c r="I994" s="516">
        <f>+J958*G994+E994</f>
        <v>13117.989991275994</v>
      </c>
      <c r="J994" s="512">
        <f t="shared" si="90"/>
        <v>0</v>
      </c>
      <c r="K994" s="512"/>
      <c r="L994" s="517"/>
      <c r="M994" s="512">
        <f t="shared" si="91"/>
        <v>0</v>
      </c>
      <c r="N994" s="517"/>
      <c r="O994" s="512">
        <f t="shared" si="92"/>
        <v>0</v>
      </c>
      <c r="P994" s="512">
        <f t="shared" si="93"/>
        <v>0</v>
      </c>
      <c r="Q994" s="473"/>
    </row>
    <row r="995" spans="3:17">
      <c r="C995" s="508">
        <f>IF(D956="","-",+C994+1)</f>
        <v>2047</v>
      </c>
      <c r="D995" s="471">
        <f t="shared" si="94"/>
        <v>57957.986071428633</v>
      </c>
      <c r="E995" s="515">
        <f t="shared" si="95"/>
        <v>6380.6957142857154</v>
      </c>
      <c r="F995" s="515">
        <f t="shared" si="88"/>
        <v>51577.29035714292</v>
      </c>
      <c r="G995" s="471">
        <f t="shared" si="89"/>
        <v>54767.638214285776</v>
      </c>
      <c r="H995" s="509">
        <f>+J957*G995+E995</f>
        <v>12414.967979763966</v>
      </c>
      <c r="I995" s="516">
        <f>+J958*G995+E995</f>
        <v>12414.967979763966</v>
      </c>
      <c r="J995" s="512">
        <f t="shared" si="90"/>
        <v>0</v>
      </c>
      <c r="K995" s="512"/>
      <c r="L995" s="517"/>
      <c r="M995" s="512">
        <f t="shared" si="91"/>
        <v>0</v>
      </c>
      <c r="N995" s="517"/>
      <c r="O995" s="512">
        <f t="shared" si="92"/>
        <v>0</v>
      </c>
      <c r="P995" s="512">
        <f t="shared" si="93"/>
        <v>0</v>
      </c>
      <c r="Q995" s="473"/>
    </row>
    <row r="996" spans="3:17">
      <c r="C996" s="508">
        <f>IF(D956="","-",+C995+1)</f>
        <v>2048</v>
      </c>
      <c r="D996" s="471">
        <f t="shared" si="94"/>
        <v>51577.29035714292</v>
      </c>
      <c r="E996" s="515">
        <f t="shared" si="95"/>
        <v>6380.6957142857154</v>
      </c>
      <c r="F996" s="515">
        <f t="shared" si="88"/>
        <v>45196.594642857206</v>
      </c>
      <c r="G996" s="471">
        <f t="shared" si="89"/>
        <v>48386.942500000063</v>
      </c>
      <c r="H996" s="509">
        <f>+J957*G996+E996</f>
        <v>11711.945968251937</v>
      </c>
      <c r="I996" s="516">
        <f>+J958*G996+E996</f>
        <v>11711.945968251937</v>
      </c>
      <c r="J996" s="512">
        <f t="shared" si="90"/>
        <v>0</v>
      </c>
      <c r="K996" s="512"/>
      <c r="L996" s="517"/>
      <c r="M996" s="512">
        <f t="shared" si="91"/>
        <v>0</v>
      </c>
      <c r="N996" s="517"/>
      <c r="O996" s="512">
        <f t="shared" si="92"/>
        <v>0</v>
      </c>
      <c r="P996" s="512">
        <f t="shared" si="93"/>
        <v>0</v>
      </c>
      <c r="Q996" s="473"/>
    </row>
    <row r="997" spans="3:17">
      <c r="C997" s="508">
        <f>IF(D956="","-",+C996+1)</f>
        <v>2049</v>
      </c>
      <c r="D997" s="471">
        <f t="shared" si="94"/>
        <v>45196.594642857206</v>
      </c>
      <c r="E997" s="515">
        <f t="shared" si="95"/>
        <v>6380.6957142857154</v>
      </c>
      <c r="F997" s="515">
        <f t="shared" si="88"/>
        <v>38815.898928571492</v>
      </c>
      <c r="G997" s="471">
        <f t="shared" si="89"/>
        <v>42006.246785714349</v>
      </c>
      <c r="H997" s="509">
        <f>+J957*G997+E997</f>
        <v>11008.923956739909</v>
      </c>
      <c r="I997" s="516">
        <f>+J958*G997+E997</f>
        <v>11008.923956739909</v>
      </c>
      <c r="J997" s="512">
        <f t="shared" si="90"/>
        <v>0</v>
      </c>
      <c r="K997" s="512"/>
      <c r="L997" s="517"/>
      <c r="M997" s="512">
        <f t="shared" si="91"/>
        <v>0</v>
      </c>
      <c r="N997" s="517"/>
      <c r="O997" s="512">
        <f t="shared" si="92"/>
        <v>0</v>
      </c>
      <c r="P997" s="512">
        <f t="shared" si="93"/>
        <v>0</v>
      </c>
      <c r="Q997" s="473"/>
    </row>
    <row r="998" spans="3:17">
      <c r="C998" s="508">
        <f>IF(D956="","-",+C997+1)</f>
        <v>2050</v>
      </c>
      <c r="D998" s="471">
        <f t="shared" si="94"/>
        <v>38815.898928571492</v>
      </c>
      <c r="E998" s="515">
        <f t="shared" si="95"/>
        <v>6380.6957142857154</v>
      </c>
      <c r="F998" s="515">
        <f t="shared" si="88"/>
        <v>32435.203214285779</v>
      </c>
      <c r="G998" s="471">
        <f t="shared" si="89"/>
        <v>35625.551071428636</v>
      </c>
      <c r="H998" s="509">
        <f>+J957*G998+E998</f>
        <v>10305.901945227881</v>
      </c>
      <c r="I998" s="516">
        <f>+J958*G998+E998</f>
        <v>10305.901945227881</v>
      </c>
      <c r="J998" s="512">
        <f t="shared" si="90"/>
        <v>0</v>
      </c>
      <c r="K998" s="512"/>
      <c r="L998" s="517"/>
      <c r="M998" s="512">
        <f t="shared" si="91"/>
        <v>0</v>
      </c>
      <c r="N998" s="517"/>
      <c r="O998" s="512">
        <f t="shared" si="92"/>
        <v>0</v>
      </c>
      <c r="P998" s="512">
        <f t="shared" si="93"/>
        <v>0</v>
      </c>
      <c r="Q998" s="473"/>
    </row>
    <row r="999" spans="3:17">
      <c r="C999" s="508">
        <f>IF(D956="","-",+C998+1)</f>
        <v>2051</v>
      </c>
      <c r="D999" s="471">
        <f t="shared" si="94"/>
        <v>32435.203214285779</v>
      </c>
      <c r="E999" s="515">
        <f t="shared" si="95"/>
        <v>6380.6957142857154</v>
      </c>
      <c r="F999" s="515">
        <f t="shared" si="88"/>
        <v>26054.507500000065</v>
      </c>
      <c r="G999" s="471">
        <f t="shared" si="89"/>
        <v>29244.855357142922</v>
      </c>
      <c r="H999" s="509">
        <f>+J957*G999+E999</f>
        <v>9602.8799337158525</v>
      </c>
      <c r="I999" s="516">
        <f>+J958*G999+E999</f>
        <v>9602.8799337158525</v>
      </c>
      <c r="J999" s="512">
        <f t="shared" si="90"/>
        <v>0</v>
      </c>
      <c r="K999" s="512"/>
      <c r="L999" s="517"/>
      <c r="M999" s="512">
        <f t="shared" si="91"/>
        <v>0</v>
      </c>
      <c r="N999" s="517"/>
      <c r="O999" s="512">
        <f t="shared" si="92"/>
        <v>0</v>
      </c>
      <c r="P999" s="512">
        <f t="shared" si="93"/>
        <v>0</v>
      </c>
      <c r="Q999" s="473"/>
    </row>
    <row r="1000" spans="3:17">
      <c r="C1000" s="508">
        <f>IF(D956="","-",+C999+1)</f>
        <v>2052</v>
      </c>
      <c r="D1000" s="471">
        <f t="shared" si="94"/>
        <v>26054.507500000065</v>
      </c>
      <c r="E1000" s="515">
        <f t="shared" si="95"/>
        <v>6380.6957142857154</v>
      </c>
      <c r="F1000" s="515">
        <f t="shared" si="88"/>
        <v>19673.811785714352</v>
      </c>
      <c r="G1000" s="471">
        <f t="shared" si="89"/>
        <v>22864.159642857208</v>
      </c>
      <c r="H1000" s="509">
        <f>+J957*G1000+E1000</f>
        <v>8899.8579222038243</v>
      </c>
      <c r="I1000" s="516">
        <f>+J958*G1000+E1000</f>
        <v>8899.8579222038243</v>
      </c>
      <c r="J1000" s="512">
        <f t="shared" si="90"/>
        <v>0</v>
      </c>
      <c r="K1000" s="512"/>
      <c r="L1000" s="517"/>
      <c r="M1000" s="512">
        <f t="shared" si="91"/>
        <v>0</v>
      </c>
      <c r="N1000" s="517"/>
      <c r="O1000" s="512">
        <f t="shared" si="92"/>
        <v>0</v>
      </c>
      <c r="P1000" s="512">
        <f t="shared" si="93"/>
        <v>0</v>
      </c>
      <c r="Q1000" s="473"/>
    </row>
    <row r="1001" spans="3:17">
      <c r="C1001" s="508">
        <f>IF(D956="","-",+C1000+1)</f>
        <v>2053</v>
      </c>
      <c r="D1001" s="471">
        <f t="shared" si="94"/>
        <v>19673.811785714352</v>
      </c>
      <c r="E1001" s="515">
        <f t="shared" si="95"/>
        <v>6380.6957142857154</v>
      </c>
      <c r="F1001" s="515">
        <f t="shared" si="88"/>
        <v>13293.116071428636</v>
      </c>
      <c r="G1001" s="471">
        <f t="shared" si="89"/>
        <v>16483.463928571495</v>
      </c>
      <c r="H1001" s="509">
        <f>+J957*G1001+E1001</f>
        <v>8196.835910691796</v>
      </c>
      <c r="I1001" s="516">
        <f>+J958*G1001+E1001</f>
        <v>8196.835910691796</v>
      </c>
      <c r="J1001" s="512">
        <f t="shared" si="90"/>
        <v>0</v>
      </c>
      <c r="K1001" s="512"/>
      <c r="L1001" s="517"/>
      <c r="M1001" s="512">
        <f t="shared" si="91"/>
        <v>0</v>
      </c>
      <c r="N1001" s="517"/>
      <c r="O1001" s="512">
        <f t="shared" si="92"/>
        <v>0</v>
      </c>
      <c r="P1001" s="512">
        <f t="shared" si="93"/>
        <v>0</v>
      </c>
      <c r="Q1001" s="473"/>
    </row>
    <row r="1002" spans="3:17">
      <c r="C1002" s="508">
        <f>IF(D956="","-",+C1001+1)</f>
        <v>2054</v>
      </c>
      <c r="D1002" s="471">
        <f t="shared" si="94"/>
        <v>13293.116071428636</v>
      </c>
      <c r="E1002" s="515">
        <f t="shared" si="95"/>
        <v>6380.6957142857154</v>
      </c>
      <c r="F1002" s="515">
        <f t="shared" si="88"/>
        <v>6912.4203571429207</v>
      </c>
      <c r="G1002" s="471">
        <f t="shared" si="89"/>
        <v>10102.768214285778</v>
      </c>
      <c r="H1002" s="509">
        <f>+J957*G1002+E1002</f>
        <v>7493.8138991797668</v>
      </c>
      <c r="I1002" s="516">
        <f>+J958*G1002+E1002</f>
        <v>7493.8138991797668</v>
      </c>
      <c r="J1002" s="512">
        <f t="shared" si="90"/>
        <v>0</v>
      </c>
      <c r="K1002" s="512"/>
      <c r="L1002" s="517"/>
      <c r="M1002" s="512">
        <f t="shared" si="91"/>
        <v>0</v>
      </c>
      <c r="N1002" s="517"/>
      <c r="O1002" s="512">
        <f t="shared" si="92"/>
        <v>0</v>
      </c>
      <c r="P1002" s="512">
        <f t="shared" si="93"/>
        <v>0</v>
      </c>
      <c r="Q1002" s="473"/>
    </row>
    <row r="1003" spans="3:17">
      <c r="C1003" s="508">
        <f>IF(D956="","-",+C1002+1)</f>
        <v>2055</v>
      </c>
      <c r="D1003" s="471">
        <f t="shared" si="94"/>
        <v>6912.4203571429207</v>
      </c>
      <c r="E1003" s="515">
        <f t="shared" si="95"/>
        <v>6380.6957142857154</v>
      </c>
      <c r="F1003" s="515">
        <f t="shared" si="88"/>
        <v>531.72464285720525</v>
      </c>
      <c r="G1003" s="471">
        <f t="shared" si="89"/>
        <v>3722.072500000063</v>
      </c>
      <c r="H1003" s="509">
        <f>+J957*G1003+E1003</f>
        <v>6790.7918876677386</v>
      </c>
      <c r="I1003" s="516">
        <f>+J958*G1003+E1003</f>
        <v>6790.7918876677386</v>
      </c>
      <c r="J1003" s="512">
        <f t="shared" si="90"/>
        <v>0</v>
      </c>
      <c r="K1003" s="512"/>
      <c r="L1003" s="517"/>
      <c r="M1003" s="512">
        <f t="shared" si="91"/>
        <v>0</v>
      </c>
      <c r="N1003" s="517"/>
      <c r="O1003" s="512">
        <f t="shared" si="92"/>
        <v>0</v>
      </c>
      <c r="P1003" s="512">
        <f t="shared" si="93"/>
        <v>0</v>
      </c>
      <c r="Q1003" s="473"/>
    </row>
    <row r="1004" spans="3:17">
      <c r="C1004" s="508">
        <f>IF(D956="","-",+C1003+1)</f>
        <v>2056</v>
      </c>
      <c r="D1004" s="471">
        <f t="shared" si="94"/>
        <v>531.72464285720525</v>
      </c>
      <c r="E1004" s="515">
        <f t="shared" si="95"/>
        <v>531.72464285720525</v>
      </c>
      <c r="F1004" s="515">
        <f t="shared" si="88"/>
        <v>0</v>
      </c>
      <c r="G1004" s="471">
        <f t="shared" si="89"/>
        <v>265.86232142860263</v>
      </c>
      <c r="H1004" s="509">
        <f>+J957*G1004+E1004</f>
        <v>561.01722667020988</v>
      </c>
      <c r="I1004" s="516">
        <f>+J958*G1004+E1004</f>
        <v>561.01722667020988</v>
      </c>
      <c r="J1004" s="512">
        <f t="shared" si="90"/>
        <v>0</v>
      </c>
      <c r="K1004" s="512"/>
      <c r="L1004" s="517"/>
      <c r="M1004" s="512">
        <f t="shared" si="91"/>
        <v>0</v>
      </c>
      <c r="N1004" s="517"/>
      <c r="O1004" s="512">
        <f t="shared" si="92"/>
        <v>0</v>
      </c>
      <c r="P1004" s="512">
        <f t="shared" si="93"/>
        <v>0</v>
      </c>
      <c r="Q1004" s="473"/>
    </row>
    <row r="1005" spans="3:17">
      <c r="C1005" s="508">
        <f>IF(D956="","-",+C1004+1)</f>
        <v>2057</v>
      </c>
      <c r="D1005" s="471">
        <f t="shared" si="94"/>
        <v>0</v>
      </c>
      <c r="E1005" s="515">
        <f t="shared" si="95"/>
        <v>0</v>
      </c>
      <c r="F1005" s="515">
        <f t="shared" si="88"/>
        <v>0</v>
      </c>
      <c r="G1005" s="471">
        <f t="shared" si="89"/>
        <v>0</v>
      </c>
      <c r="H1005" s="509">
        <f>+J957*G1005+E1005</f>
        <v>0</v>
      </c>
      <c r="I1005" s="516">
        <f>+J958*G1005+E1005</f>
        <v>0</v>
      </c>
      <c r="J1005" s="512">
        <f t="shared" si="90"/>
        <v>0</v>
      </c>
      <c r="K1005" s="512"/>
      <c r="L1005" s="517"/>
      <c r="M1005" s="512">
        <f t="shared" si="91"/>
        <v>0</v>
      </c>
      <c r="N1005" s="517"/>
      <c r="O1005" s="512">
        <f t="shared" si="92"/>
        <v>0</v>
      </c>
      <c r="P1005" s="512">
        <f t="shared" si="93"/>
        <v>0</v>
      </c>
      <c r="Q1005" s="473"/>
    </row>
    <row r="1006" spans="3:17">
      <c r="C1006" s="508">
        <f>IF(D956="","-",+C1005+1)</f>
        <v>2058</v>
      </c>
      <c r="D1006" s="471">
        <f t="shared" si="94"/>
        <v>0</v>
      </c>
      <c r="E1006" s="515">
        <f t="shared" si="95"/>
        <v>0</v>
      </c>
      <c r="F1006" s="515">
        <f t="shared" si="88"/>
        <v>0</v>
      </c>
      <c r="G1006" s="471">
        <f t="shared" si="89"/>
        <v>0</v>
      </c>
      <c r="H1006" s="509">
        <f>+J957*G1006+E1006</f>
        <v>0</v>
      </c>
      <c r="I1006" s="516">
        <f>+J958*G1006+E1006</f>
        <v>0</v>
      </c>
      <c r="J1006" s="512">
        <f t="shared" si="90"/>
        <v>0</v>
      </c>
      <c r="K1006" s="512"/>
      <c r="L1006" s="517"/>
      <c r="M1006" s="512">
        <f t="shared" si="91"/>
        <v>0</v>
      </c>
      <c r="N1006" s="517"/>
      <c r="O1006" s="512">
        <f t="shared" si="92"/>
        <v>0</v>
      </c>
      <c r="P1006" s="512">
        <f t="shared" si="93"/>
        <v>0</v>
      </c>
      <c r="Q1006" s="473"/>
    </row>
    <row r="1007" spans="3:17">
      <c r="C1007" s="508">
        <f>IF(D956="","-",+C1006+1)</f>
        <v>2059</v>
      </c>
      <c r="D1007" s="471">
        <f t="shared" si="94"/>
        <v>0</v>
      </c>
      <c r="E1007" s="515">
        <f t="shared" si="95"/>
        <v>0</v>
      </c>
      <c r="F1007" s="515">
        <f t="shared" si="88"/>
        <v>0</v>
      </c>
      <c r="G1007" s="471">
        <f t="shared" si="89"/>
        <v>0</v>
      </c>
      <c r="H1007" s="509">
        <f>+J957*G1007+E1007</f>
        <v>0</v>
      </c>
      <c r="I1007" s="516">
        <f>+J958*G1007+E1007</f>
        <v>0</v>
      </c>
      <c r="J1007" s="512">
        <f t="shared" si="90"/>
        <v>0</v>
      </c>
      <c r="K1007" s="512"/>
      <c r="L1007" s="517"/>
      <c r="M1007" s="512">
        <f t="shared" si="91"/>
        <v>0</v>
      </c>
      <c r="N1007" s="517"/>
      <c r="O1007" s="512">
        <f t="shared" si="92"/>
        <v>0</v>
      </c>
      <c r="P1007" s="512">
        <f t="shared" si="93"/>
        <v>0</v>
      </c>
      <c r="Q1007" s="473"/>
    </row>
    <row r="1008" spans="3:17">
      <c r="C1008" s="508">
        <f>IF(D956="","-",+C1007+1)</f>
        <v>2060</v>
      </c>
      <c r="D1008" s="471">
        <f t="shared" si="94"/>
        <v>0</v>
      </c>
      <c r="E1008" s="515">
        <f t="shared" si="95"/>
        <v>0</v>
      </c>
      <c r="F1008" s="515">
        <f t="shared" si="88"/>
        <v>0</v>
      </c>
      <c r="G1008" s="471">
        <f t="shared" si="89"/>
        <v>0</v>
      </c>
      <c r="H1008" s="509">
        <f>+J957*G1008+E1008</f>
        <v>0</v>
      </c>
      <c r="I1008" s="516">
        <f>+J958*G1008+E1008</f>
        <v>0</v>
      </c>
      <c r="J1008" s="512">
        <f t="shared" si="90"/>
        <v>0</v>
      </c>
      <c r="K1008" s="512"/>
      <c r="L1008" s="517"/>
      <c r="M1008" s="512">
        <f t="shared" si="91"/>
        <v>0</v>
      </c>
      <c r="N1008" s="517"/>
      <c r="O1008" s="512">
        <f t="shared" si="92"/>
        <v>0</v>
      </c>
      <c r="P1008" s="512">
        <f t="shared" si="93"/>
        <v>0</v>
      </c>
      <c r="Q1008" s="473"/>
    </row>
    <row r="1009" spans="3:17">
      <c r="C1009" s="508">
        <f>IF(D956="","-",+C1008+1)</f>
        <v>2061</v>
      </c>
      <c r="D1009" s="471">
        <f t="shared" si="94"/>
        <v>0</v>
      </c>
      <c r="E1009" s="515">
        <f t="shared" si="95"/>
        <v>0</v>
      </c>
      <c r="F1009" s="515">
        <f t="shared" si="88"/>
        <v>0</v>
      </c>
      <c r="G1009" s="471">
        <f t="shared" si="89"/>
        <v>0</v>
      </c>
      <c r="H1009" s="509">
        <f>+J957*G1009+E1009</f>
        <v>0</v>
      </c>
      <c r="I1009" s="516">
        <f>+J958*G1009+E1009</f>
        <v>0</v>
      </c>
      <c r="J1009" s="512">
        <f t="shared" si="90"/>
        <v>0</v>
      </c>
      <c r="K1009" s="512"/>
      <c r="L1009" s="517"/>
      <c r="M1009" s="512">
        <f t="shared" si="91"/>
        <v>0</v>
      </c>
      <c r="N1009" s="517"/>
      <c r="O1009" s="512">
        <f t="shared" si="92"/>
        <v>0</v>
      </c>
      <c r="P1009" s="512">
        <f t="shared" si="93"/>
        <v>0</v>
      </c>
      <c r="Q1009" s="473"/>
    </row>
    <row r="1010" spans="3:17">
      <c r="C1010" s="508">
        <f>IF(D956="","-",+C1009+1)</f>
        <v>2062</v>
      </c>
      <c r="D1010" s="471">
        <f t="shared" si="94"/>
        <v>0</v>
      </c>
      <c r="E1010" s="515">
        <f t="shared" si="95"/>
        <v>0</v>
      </c>
      <c r="F1010" s="515">
        <f t="shared" si="88"/>
        <v>0</v>
      </c>
      <c r="G1010" s="471">
        <f t="shared" si="89"/>
        <v>0</v>
      </c>
      <c r="H1010" s="509">
        <f>+J957*G1010+E1010</f>
        <v>0</v>
      </c>
      <c r="I1010" s="516">
        <f>+J958*G1010+E1010</f>
        <v>0</v>
      </c>
      <c r="J1010" s="512">
        <f t="shared" si="90"/>
        <v>0</v>
      </c>
      <c r="K1010" s="512"/>
      <c r="L1010" s="517"/>
      <c r="M1010" s="512">
        <f t="shared" si="91"/>
        <v>0</v>
      </c>
      <c r="N1010" s="517"/>
      <c r="O1010" s="512">
        <f t="shared" si="92"/>
        <v>0</v>
      </c>
      <c r="P1010" s="512">
        <f t="shared" si="93"/>
        <v>0</v>
      </c>
      <c r="Q1010" s="473"/>
    </row>
    <row r="1011" spans="3:17">
      <c r="C1011" s="508">
        <f>IF(D956="","-",+C1010+1)</f>
        <v>2063</v>
      </c>
      <c r="D1011" s="471">
        <f t="shared" si="94"/>
        <v>0</v>
      </c>
      <c r="E1011" s="515">
        <f t="shared" si="95"/>
        <v>0</v>
      </c>
      <c r="F1011" s="515">
        <f t="shared" si="88"/>
        <v>0</v>
      </c>
      <c r="G1011" s="471">
        <f t="shared" si="89"/>
        <v>0</v>
      </c>
      <c r="H1011" s="509">
        <f>+J957*G1011+E1011</f>
        <v>0</v>
      </c>
      <c r="I1011" s="516">
        <f>+J958*G1011+E1011</f>
        <v>0</v>
      </c>
      <c r="J1011" s="512">
        <f t="shared" si="90"/>
        <v>0</v>
      </c>
      <c r="K1011" s="512"/>
      <c r="L1011" s="517"/>
      <c r="M1011" s="512">
        <f t="shared" si="91"/>
        <v>0</v>
      </c>
      <c r="N1011" s="517"/>
      <c r="O1011" s="512">
        <f t="shared" si="92"/>
        <v>0</v>
      </c>
      <c r="P1011" s="512">
        <f t="shared" si="93"/>
        <v>0</v>
      </c>
      <c r="Q1011" s="473"/>
    </row>
    <row r="1012" spans="3:17">
      <c r="C1012" s="508">
        <f>IF(D956="","-",+C1011+1)</f>
        <v>2064</v>
      </c>
      <c r="D1012" s="471">
        <f t="shared" si="94"/>
        <v>0</v>
      </c>
      <c r="E1012" s="515">
        <f t="shared" si="95"/>
        <v>0</v>
      </c>
      <c r="F1012" s="515">
        <f t="shared" si="88"/>
        <v>0</v>
      </c>
      <c r="G1012" s="471">
        <f t="shared" si="89"/>
        <v>0</v>
      </c>
      <c r="H1012" s="509">
        <f>+J957*G1012+E1012</f>
        <v>0</v>
      </c>
      <c r="I1012" s="516">
        <f>+J958*G1012+E1012</f>
        <v>0</v>
      </c>
      <c r="J1012" s="512">
        <f t="shared" si="90"/>
        <v>0</v>
      </c>
      <c r="K1012" s="512"/>
      <c r="L1012" s="517"/>
      <c r="M1012" s="512">
        <f t="shared" si="91"/>
        <v>0</v>
      </c>
      <c r="N1012" s="517"/>
      <c r="O1012" s="512">
        <f t="shared" si="92"/>
        <v>0</v>
      </c>
      <c r="P1012" s="512">
        <f t="shared" si="93"/>
        <v>0</v>
      </c>
      <c r="Q1012" s="473"/>
    </row>
    <row r="1013" spans="3:17">
      <c r="C1013" s="508">
        <f>IF(D956="","-",+C1012+1)</f>
        <v>2065</v>
      </c>
      <c r="D1013" s="471">
        <f t="shared" si="94"/>
        <v>0</v>
      </c>
      <c r="E1013" s="515">
        <f t="shared" si="95"/>
        <v>0</v>
      </c>
      <c r="F1013" s="515">
        <f t="shared" si="88"/>
        <v>0</v>
      </c>
      <c r="G1013" s="471">
        <f t="shared" si="89"/>
        <v>0</v>
      </c>
      <c r="H1013" s="509">
        <f>+J957*G1013+E1013</f>
        <v>0</v>
      </c>
      <c r="I1013" s="516">
        <f>+J958*G1013+E1013</f>
        <v>0</v>
      </c>
      <c r="J1013" s="512">
        <f t="shared" si="90"/>
        <v>0</v>
      </c>
      <c r="K1013" s="512"/>
      <c r="L1013" s="517"/>
      <c r="M1013" s="512">
        <f t="shared" si="91"/>
        <v>0</v>
      </c>
      <c r="N1013" s="517"/>
      <c r="O1013" s="512">
        <f t="shared" si="92"/>
        <v>0</v>
      </c>
      <c r="P1013" s="512">
        <f t="shared" si="93"/>
        <v>0</v>
      </c>
      <c r="Q1013" s="473"/>
    </row>
    <row r="1014" spans="3:17">
      <c r="C1014" s="508">
        <f>IF(D956="","-",+C1013+1)</f>
        <v>2066</v>
      </c>
      <c r="D1014" s="471">
        <f t="shared" si="94"/>
        <v>0</v>
      </c>
      <c r="E1014" s="515">
        <f t="shared" si="95"/>
        <v>0</v>
      </c>
      <c r="F1014" s="515">
        <f t="shared" si="88"/>
        <v>0</v>
      </c>
      <c r="G1014" s="471">
        <f t="shared" si="89"/>
        <v>0</v>
      </c>
      <c r="H1014" s="509">
        <f>+J957*G1014+E1014</f>
        <v>0</v>
      </c>
      <c r="I1014" s="516">
        <f>+J958*G1014+E1014</f>
        <v>0</v>
      </c>
      <c r="J1014" s="512">
        <f t="shared" si="90"/>
        <v>0</v>
      </c>
      <c r="K1014" s="512"/>
      <c r="L1014" s="517"/>
      <c r="M1014" s="512">
        <f t="shared" si="91"/>
        <v>0</v>
      </c>
      <c r="N1014" s="517"/>
      <c r="O1014" s="512">
        <f t="shared" si="92"/>
        <v>0</v>
      </c>
      <c r="P1014" s="512">
        <f t="shared" si="93"/>
        <v>0</v>
      </c>
      <c r="Q1014" s="473"/>
    </row>
    <row r="1015" spans="3:17">
      <c r="C1015" s="508">
        <f>IF(D956="","-",+C1014+1)</f>
        <v>2067</v>
      </c>
      <c r="D1015" s="471">
        <f t="shared" si="94"/>
        <v>0</v>
      </c>
      <c r="E1015" s="515">
        <f t="shared" si="95"/>
        <v>0</v>
      </c>
      <c r="F1015" s="515">
        <f t="shared" si="88"/>
        <v>0</v>
      </c>
      <c r="G1015" s="471">
        <f t="shared" si="89"/>
        <v>0</v>
      </c>
      <c r="H1015" s="509">
        <f>+J957*G1015+E1015</f>
        <v>0</v>
      </c>
      <c r="I1015" s="516">
        <f>+J958*G1015+E1015</f>
        <v>0</v>
      </c>
      <c r="J1015" s="512">
        <f t="shared" si="90"/>
        <v>0</v>
      </c>
      <c r="K1015" s="512"/>
      <c r="L1015" s="517"/>
      <c r="M1015" s="512">
        <f t="shared" si="91"/>
        <v>0</v>
      </c>
      <c r="N1015" s="517"/>
      <c r="O1015" s="512">
        <f t="shared" si="92"/>
        <v>0</v>
      </c>
      <c r="P1015" s="512">
        <f t="shared" si="93"/>
        <v>0</v>
      </c>
      <c r="Q1015" s="473"/>
    </row>
    <row r="1016" spans="3:17">
      <c r="C1016" s="508">
        <f>IF(D956="","-",+C1015+1)</f>
        <v>2068</v>
      </c>
      <c r="D1016" s="471">
        <f t="shared" si="94"/>
        <v>0</v>
      </c>
      <c r="E1016" s="515">
        <f t="shared" si="95"/>
        <v>0</v>
      </c>
      <c r="F1016" s="515">
        <f t="shared" si="88"/>
        <v>0</v>
      </c>
      <c r="G1016" s="471">
        <f t="shared" si="89"/>
        <v>0</v>
      </c>
      <c r="H1016" s="509">
        <f>+J957*G1016+E1016</f>
        <v>0</v>
      </c>
      <c r="I1016" s="516">
        <f>+J958*G1016+E1016</f>
        <v>0</v>
      </c>
      <c r="J1016" s="512">
        <f t="shared" si="90"/>
        <v>0</v>
      </c>
      <c r="K1016" s="512"/>
      <c r="L1016" s="517"/>
      <c r="M1016" s="512">
        <f t="shared" si="91"/>
        <v>0</v>
      </c>
      <c r="N1016" s="517"/>
      <c r="O1016" s="512">
        <f t="shared" si="92"/>
        <v>0</v>
      </c>
      <c r="P1016" s="512">
        <f t="shared" si="93"/>
        <v>0</v>
      </c>
      <c r="Q1016" s="473"/>
    </row>
    <row r="1017" spans="3:17">
      <c r="C1017" s="508">
        <f>IF(D956="","-",+C1016+1)</f>
        <v>2069</v>
      </c>
      <c r="D1017" s="471">
        <f t="shared" si="94"/>
        <v>0</v>
      </c>
      <c r="E1017" s="515">
        <f t="shared" si="95"/>
        <v>0</v>
      </c>
      <c r="F1017" s="515">
        <f t="shared" si="88"/>
        <v>0</v>
      </c>
      <c r="G1017" s="471">
        <f t="shared" si="89"/>
        <v>0</v>
      </c>
      <c r="H1017" s="509">
        <f>+J957*G1017+E1017</f>
        <v>0</v>
      </c>
      <c r="I1017" s="516">
        <f>+J958*G1017+E1017</f>
        <v>0</v>
      </c>
      <c r="J1017" s="512">
        <f t="shared" si="90"/>
        <v>0</v>
      </c>
      <c r="K1017" s="512"/>
      <c r="L1017" s="517"/>
      <c r="M1017" s="512">
        <f t="shared" si="91"/>
        <v>0</v>
      </c>
      <c r="N1017" s="517"/>
      <c r="O1017" s="512">
        <f t="shared" si="92"/>
        <v>0</v>
      </c>
      <c r="P1017" s="512">
        <f t="shared" si="93"/>
        <v>0</v>
      </c>
      <c r="Q1017" s="473"/>
    </row>
    <row r="1018" spans="3:17">
      <c r="C1018" s="508">
        <f>IF(D956="","-",+C1017+1)</f>
        <v>2070</v>
      </c>
      <c r="D1018" s="471">
        <f t="shared" si="94"/>
        <v>0</v>
      </c>
      <c r="E1018" s="515">
        <f t="shared" si="95"/>
        <v>0</v>
      </c>
      <c r="F1018" s="515">
        <f t="shared" si="88"/>
        <v>0</v>
      </c>
      <c r="G1018" s="471">
        <f t="shared" si="89"/>
        <v>0</v>
      </c>
      <c r="H1018" s="509">
        <f>+J957*G1018+E1018</f>
        <v>0</v>
      </c>
      <c r="I1018" s="516">
        <f>+J958*G1018+E1018</f>
        <v>0</v>
      </c>
      <c r="J1018" s="512">
        <f t="shared" si="90"/>
        <v>0</v>
      </c>
      <c r="K1018" s="512"/>
      <c r="L1018" s="517"/>
      <c r="M1018" s="512">
        <f t="shared" si="91"/>
        <v>0</v>
      </c>
      <c r="N1018" s="517"/>
      <c r="O1018" s="512">
        <f t="shared" si="92"/>
        <v>0</v>
      </c>
      <c r="P1018" s="512">
        <f t="shared" si="93"/>
        <v>0</v>
      </c>
      <c r="Q1018" s="473"/>
    </row>
    <row r="1019" spans="3:17">
      <c r="C1019" s="508">
        <f>IF(D956="","-",+C1018+1)</f>
        <v>2071</v>
      </c>
      <c r="D1019" s="471">
        <f t="shared" si="94"/>
        <v>0</v>
      </c>
      <c r="E1019" s="515">
        <f t="shared" si="95"/>
        <v>0</v>
      </c>
      <c r="F1019" s="515">
        <f t="shared" si="88"/>
        <v>0</v>
      </c>
      <c r="G1019" s="471">
        <f t="shared" si="89"/>
        <v>0</v>
      </c>
      <c r="H1019" s="509">
        <f>+J957*G1019+E1019</f>
        <v>0</v>
      </c>
      <c r="I1019" s="516">
        <f>+J958*G1019+E1019</f>
        <v>0</v>
      </c>
      <c r="J1019" s="512">
        <f t="shared" si="90"/>
        <v>0</v>
      </c>
      <c r="K1019" s="512"/>
      <c r="L1019" s="517"/>
      <c r="M1019" s="512">
        <f t="shared" si="91"/>
        <v>0</v>
      </c>
      <c r="N1019" s="517"/>
      <c r="O1019" s="512">
        <f t="shared" si="92"/>
        <v>0</v>
      </c>
      <c r="P1019" s="512">
        <f t="shared" si="93"/>
        <v>0</v>
      </c>
      <c r="Q1019" s="473"/>
    </row>
    <row r="1020" spans="3:17">
      <c r="C1020" s="508">
        <f>IF(D956="","-",+C1019+1)</f>
        <v>2072</v>
      </c>
      <c r="D1020" s="471">
        <f t="shared" si="94"/>
        <v>0</v>
      </c>
      <c r="E1020" s="515">
        <f t="shared" si="95"/>
        <v>0</v>
      </c>
      <c r="F1020" s="515">
        <f t="shared" si="88"/>
        <v>0</v>
      </c>
      <c r="G1020" s="471">
        <f t="shared" si="89"/>
        <v>0</v>
      </c>
      <c r="H1020" s="509">
        <f>+J957*G1020+E1020</f>
        <v>0</v>
      </c>
      <c r="I1020" s="516">
        <f>+J958*G1020+E1020</f>
        <v>0</v>
      </c>
      <c r="J1020" s="512">
        <f t="shared" si="90"/>
        <v>0</v>
      </c>
      <c r="K1020" s="512"/>
      <c r="L1020" s="517"/>
      <c r="M1020" s="512">
        <f t="shared" si="91"/>
        <v>0</v>
      </c>
      <c r="N1020" s="517"/>
      <c r="O1020" s="512">
        <f t="shared" si="92"/>
        <v>0</v>
      </c>
      <c r="P1020" s="512">
        <f t="shared" si="93"/>
        <v>0</v>
      </c>
      <c r="Q1020" s="473"/>
    </row>
    <row r="1021" spans="3:17" ht="13.5" thickBot="1">
      <c r="C1021" s="520">
        <f>IF(D956="","-",+C1020+1)</f>
        <v>2073</v>
      </c>
      <c r="D1021" s="521">
        <f t="shared" si="94"/>
        <v>0</v>
      </c>
      <c r="E1021" s="522">
        <f t="shared" si="95"/>
        <v>0</v>
      </c>
      <c r="F1021" s="522">
        <f t="shared" si="88"/>
        <v>0</v>
      </c>
      <c r="G1021" s="521">
        <f t="shared" si="89"/>
        <v>0</v>
      </c>
      <c r="H1021" s="523">
        <f>+J957*G1021+E1021</f>
        <v>0</v>
      </c>
      <c r="I1021" s="523">
        <f>+J958*G1021+E1021</f>
        <v>0</v>
      </c>
      <c r="J1021" s="524">
        <f t="shared" si="90"/>
        <v>0</v>
      </c>
      <c r="K1021" s="512"/>
      <c r="L1021" s="525"/>
      <c r="M1021" s="524">
        <f t="shared" si="91"/>
        <v>0</v>
      </c>
      <c r="N1021" s="525"/>
      <c r="O1021" s="524">
        <f t="shared" si="92"/>
        <v>0</v>
      </c>
      <c r="P1021" s="524">
        <f t="shared" si="93"/>
        <v>0</v>
      </c>
      <c r="Q1021" s="473"/>
    </row>
    <row r="1022" spans="3:17">
      <c r="C1022" s="471" t="s">
        <v>288</v>
      </c>
      <c r="D1022" s="469"/>
      <c r="E1022" s="469">
        <f>SUM(E962:E1021)</f>
        <v>267989.22000000009</v>
      </c>
      <c r="F1022" s="469"/>
      <c r="G1022" s="469"/>
      <c r="H1022" s="469">
        <f>SUM(H962:H1021)</f>
        <v>890515.21119390137</v>
      </c>
      <c r="I1022" s="469">
        <f>SUM(I962:I1021)</f>
        <v>890515.21119390137</v>
      </c>
      <c r="J1022" s="469">
        <f>SUM(J962:J1021)</f>
        <v>0</v>
      </c>
      <c r="K1022" s="469"/>
      <c r="L1022" s="469"/>
      <c r="M1022" s="469"/>
      <c r="N1022" s="469"/>
      <c r="O1022" s="469"/>
      <c r="Q1022" s="469"/>
    </row>
    <row r="1023" spans="3:17">
      <c r="D1023" s="78"/>
      <c r="E1023" s="4"/>
      <c r="F1023" s="4"/>
      <c r="G1023" s="4"/>
      <c r="H1023" s="4"/>
      <c r="I1023" s="454"/>
      <c r="J1023" s="454"/>
      <c r="K1023" s="469"/>
      <c r="L1023" s="454"/>
      <c r="M1023" s="454"/>
      <c r="N1023" s="454"/>
      <c r="O1023" s="454"/>
      <c r="Q1023" s="469"/>
    </row>
    <row r="1024" spans="3:17">
      <c r="C1024" s="4" t="s">
        <v>600</v>
      </c>
      <c r="D1024" s="78"/>
      <c r="E1024" s="4"/>
      <c r="F1024" s="4"/>
      <c r="G1024" s="4"/>
      <c r="H1024" s="4"/>
      <c r="I1024" s="454"/>
      <c r="J1024" s="454"/>
      <c r="K1024" s="469"/>
      <c r="L1024" s="454"/>
      <c r="M1024" s="454"/>
      <c r="N1024" s="454"/>
      <c r="O1024" s="454"/>
      <c r="Q1024" s="469"/>
    </row>
    <row r="1025" spans="1:17">
      <c r="D1025" s="78"/>
      <c r="E1025" s="4"/>
      <c r="F1025" s="4"/>
      <c r="G1025" s="4"/>
      <c r="H1025" s="4"/>
      <c r="I1025" s="454"/>
      <c r="J1025" s="454"/>
      <c r="K1025" s="469"/>
      <c r="L1025" s="454"/>
      <c r="M1025" s="454"/>
      <c r="N1025" s="454"/>
      <c r="O1025" s="454"/>
      <c r="Q1025" s="469"/>
    </row>
    <row r="1026" spans="1:17">
      <c r="C1026" s="4" t="s">
        <v>601</v>
      </c>
      <c r="D1026" s="471"/>
      <c r="E1026" s="471"/>
      <c r="F1026" s="471"/>
      <c r="G1026" s="471"/>
      <c r="H1026" s="469"/>
      <c r="I1026" s="469"/>
      <c r="J1026" s="473"/>
      <c r="K1026" s="473"/>
      <c r="L1026" s="473"/>
      <c r="M1026" s="473"/>
      <c r="N1026" s="473"/>
      <c r="O1026" s="473"/>
      <c r="Q1026" s="473"/>
    </row>
    <row r="1027" spans="1:17">
      <c r="C1027" s="4" t="s">
        <v>476</v>
      </c>
      <c r="D1027" s="471"/>
      <c r="E1027" s="471"/>
      <c r="F1027" s="471"/>
      <c r="G1027" s="471"/>
      <c r="H1027" s="469"/>
      <c r="I1027" s="469"/>
      <c r="J1027" s="473"/>
      <c r="K1027" s="473"/>
      <c r="L1027" s="473"/>
      <c r="M1027" s="473"/>
      <c r="N1027" s="473"/>
      <c r="O1027" s="473"/>
      <c r="Q1027" s="473"/>
    </row>
    <row r="1028" spans="1:17">
      <c r="C1028" s="4" t="s">
        <v>289</v>
      </c>
      <c r="D1028" s="471"/>
      <c r="E1028" s="471"/>
      <c r="F1028" s="471"/>
      <c r="G1028" s="471"/>
      <c r="H1028" s="469"/>
      <c r="I1028" s="469"/>
      <c r="J1028" s="473"/>
      <c r="K1028" s="473"/>
      <c r="L1028" s="473"/>
      <c r="M1028" s="473"/>
      <c r="N1028" s="473"/>
      <c r="O1028" s="473"/>
      <c r="Q1028" s="473"/>
    </row>
    <row r="1029" spans="1:17" ht="20.25">
      <c r="A1029" s="413" t="s">
        <v>767</v>
      </c>
      <c r="B1029" s="4"/>
      <c r="C1029" s="4"/>
      <c r="D1029" s="78"/>
      <c r="E1029" s="4"/>
      <c r="F1029" s="80"/>
      <c r="G1029" s="80"/>
      <c r="H1029" s="4"/>
      <c r="I1029" s="454"/>
      <c r="L1029" s="11"/>
      <c r="M1029" s="11"/>
      <c r="N1029" s="11"/>
      <c r="O1029" s="11" t="str">
        <f>"Page "&amp;SUM(Q$3:Q1029)&amp;" of "</f>
        <v xml:space="preserve">Page 13 of </v>
      </c>
      <c r="P1029" s="414">
        <f>COUNT(Q$8:Q$58123)</f>
        <v>16</v>
      </c>
      <c r="Q1029" s="544">
        <v>1</v>
      </c>
    </row>
    <row r="1030" spans="1:17">
      <c r="B1030" s="4"/>
      <c r="C1030" s="4"/>
      <c r="D1030" s="78"/>
      <c r="E1030" s="4"/>
      <c r="F1030" s="4"/>
      <c r="G1030" s="4"/>
      <c r="H1030" s="4"/>
      <c r="I1030" s="454"/>
      <c r="J1030" s="4"/>
      <c r="K1030" s="4"/>
    </row>
    <row r="1031" spans="1:17" ht="18">
      <c r="B1031" s="415" t="s">
        <v>174</v>
      </c>
      <c r="C1031" s="474" t="s">
        <v>290</v>
      </c>
      <c r="D1031" s="78"/>
      <c r="E1031" s="4"/>
      <c r="F1031" s="4"/>
      <c r="G1031" s="4"/>
      <c r="H1031" s="4"/>
      <c r="I1031" s="454"/>
      <c r="J1031" s="454"/>
      <c r="K1031" s="469"/>
      <c r="L1031" s="454"/>
      <c r="M1031" s="454"/>
      <c r="N1031" s="454"/>
      <c r="O1031" s="454"/>
      <c r="Q1031" s="469"/>
    </row>
    <row r="1032" spans="1:17" ht="18.75">
      <c r="B1032" s="415"/>
      <c r="C1032" s="13"/>
      <c r="D1032" s="78"/>
      <c r="E1032" s="4"/>
      <c r="F1032" s="4"/>
      <c r="G1032" s="4"/>
      <c r="H1032" s="4"/>
      <c r="I1032" s="454"/>
      <c r="J1032" s="454"/>
      <c r="K1032" s="469"/>
      <c r="L1032" s="454"/>
      <c r="M1032" s="454"/>
      <c r="N1032" s="454"/>
      <c r="O1032" s="454"/>
      <c r="Q1032" s="469"/>
    </row>
    <row r="1033" spans="1:17" ht="18.75">
      <c r="B1033" s="415"/>
      <c r="C1033" s="13" t="s">
        <v>291</v>
      </c>
      <c r="D1033" s="78"/>
      <c r="E1033" s="4"/>
      <c r="F1033" s="4"/>
      <c r="G1033" s="4"/>
      <c r="H1033" s="4"/>
      <c r="I1033" s="454"/>
      <c r="J1033" s="454"/>
      <c r="K1033" s="469"/>
      <c r="L1033" s="454"/>
      <c r="M1033" s="454"/>
      <c r="N1033" s="454"/>
      <c r="O1033" s="454"/>
      <c r="Q1033" s="469"/>
    </row>
    <row r="1034" spans="1:17" ht="15.75" thickBot="1">
      <c r="C1034" s="250"/>
      <c r="D1034" s="78"/>
      <c r="E1034" s="4"/>
      <c r="F1034" s="4"/>
      <c r="G1034" s="4"/>
      <c r="H1034" s="4"/>
      <c r="I1034" s="454"/>
      <c r="J1034" s="454"/>
      <c r="K1034" s="469"/>
      <c r="L1034" s="454"/>
      <c r="M1034" s="454"/>
      <c r="N1034" s="454"/>
      <c r="O1034" s="454"/>
      <c r="Q1034" s="469"/>
    </row>
    <row r="1035" spans="1:17" ht="15.75">
      <c r="C1035" s="416" t="s">
        <v>292</v>
      </c>
      <c r="D1035" s="78"/>
      <c r="E1035" s="4"/>
      <c r="F1035" s="4"/>
      <c r="G1035" s="4"/>
      <c r="H1035" s="642"/>
      <c r="I1035" s="4" t="s">
        <v>271</v>
      </c>
      <c r="J1035" s="4"/>
      <c r="K1035" s="4"/>
      <c r="L1035" s="545">
        <f>+J1041</f>
        <v>2025</v>
      </c>
      <c r="M1035" s="529" t="s">
        <v>254</v>
      </c>
      <c r="N1035" s="529" t="s">
        <v>255</v>
      </c>
      <c r="O1035" s="530" t="s">
        <v>256</v>
      </c>
    </row>
    <row r="1036" spans="1:17" ht="15.75">
      <c r="C1036" s="416"/>
      <c r="D1036" s="78"/>
      <c r="E1036" s="4"/>
      <c r="F1036" s="4"/>
      <c r="H1036" s="4"/>
      <c r="I1036" s="478"/>
      <c r="J1036" s="478"/>
      <c r="K1036" s="479"/>
      <c r="L1036" s="546" t="s">
        <v>455</v>
      </c>
      <c r="M1036" s="547">
        <f>VLOOKUP(J1041,C1048:P1107,10)</f>
        <v>1093306.4565591787</v>
      </c>
      <c r="N1036" s="547">
        <f>VLOOKUP(J1041,C1048:P1107,12)</f>
        <v>1093306.4565591787</v>
      </c>
      <c r="O1036" s="548">
        <f>+N1036-M1036</f>
        <v>0</v>
      </c>
      <c r="Q1036" s="479"/>
    </row>
    <row r="1037" spans="1:17">
      <c r="C1037" s="481" t="s">
        <v>293</v>
      </c>
      <c r="D1037" s="1304" t="s">
        <v>940</v>
      </c>
      <c r="E1037" s="1304"/>
      <c r="F1037" s="1304"/>
      <c r="G1037" s="1304"/>
      <c r="H1037" s="1304"/>
      <c r="I1037" s="454"/>
      <c r="J1037" s="454"/>
      <c r="K1037" s="469"/>
      <c r="L1037" s="546" t="s">
        <v>456</v>
      </c>
      <c r="M1037" s="549">
        <f>VLOOKUP(J1041,C1048:P1107,6)</f>
        <v>1095387.6845513405</v>
      </c>
      <c r="N1037" s="549">
        <f>VLOOKUP(J1041,C1048:P1107,7)</f>
        <v>1095387.6845513405</v>
      </c>
      <c r="O1037" s="550">
        <f>+N1037-M1037</f>
        <v>0</v>
      </c>
      <c r="Q1037" s="469"/>
    </row>
    <row r="1038" spans="1:17" ht="13.5" thickBot="1">
      <c r="C1038" s="483"/>
      <c r="D1038" s="484"/>
      <c r="E1038" s="471"/>
      <c r="F1038" s="471"/>
      <c r="G1038" s="471"/>
      <c r="H1038" s="485"/>
      <c r="I1038" s="454"/>
      <c r="J1038" s="454"/>
      <c r="K1038" s="469"/>
      <c r="L1038" s="495" t="s">
        <v>457</v>
      </c>
      <c r="M1038" s="551">
        <f>+M1037-M1036</f>
        <v>2081.2279921618756</v>
      </c>
      <c r="N1038" s="551">
        <f>+N1037-N1036</f>
        <v>2081.2279921618756</v>
      </c>
      <c r="O1038" s="552">
        <f>+O1037-O1036</f>
        <v>0</v>
      </c>
      <c r="Q1038" s="469"/>
    </row>
    <row r="1039" spans="1:17" ht="13.5" thickBot="1">
      <c r="C1039" s="483"/>
      <c r="D1039" s="4"/>
      <c r="E1039" s="485"/>
      <c r="F1039" s="485"/>
      <c r="G1039" s="485"/>
      <c r="H1039" s="485"/>
      <c r="I1039" s="485"/>
      <c r="J1039" s="485"/>
      <c r="K1039" s="485"/>
      <c r="L1039" s="485"/>
      <c r="M1039" s="485"/>
      <c r="N1039" s="485"/>
      <c r="O1039" s="485"/>
      <c r="Q1039" s="485"/>
    </row>
    <row r="1040" spans="1:17" ht="13.5" thickBot="1">
      <c r="C1040" s="487" t="s">
        <v>294</v>
      </c>
      <c r="D1040" s="488"/>
      <c r="E1040" s="488"/>
      <c r="F1040" s="488"/>
      <c r="G1040" s="488"/>
      <c r="H1040" s="488"/>
      <c r="I1040" s="488"/>
      <c r="J1040" s="488"/>
      <c r="Q1040"/>
    </row>
    <row r="1041" spans="1:17" ht="15">
      <c r="A1041" s="486"/>
      <c r="C1041" s="490" t="s">
        <v>272</v>
      </c>
      <c r="D1041" s="941">
        <v>9582259.5500000007</v>
      </c>
      <c r="E1041" s="4" t="s">
        <v>273</v>
      </c>
      <c r="H1041" s="78"/>
      <c r="I1041" s="78"/>
      <c r="J1041" s="491">
        <f>$J$95</f>
        <v>2025</v>
      </c>
      <c r="K1041" s="134"/>
      <c r="L1041" s="1305" t="s">
        <v>274</v>
      </c>
      <c r="M1041" s="1305"/>
      <c r="N1041" s="1305"/>
      <c r="O1041" s="1305"/>
      <c r="Q1041" s="134"/>
    </row>
    <row r="1042" spans="1:17">
      <c r="A1042" s="486"/>
      <c r="C1042" s="490" t="s">
        <v>275</v>
      </c>
      <c r="D1042" s="644">
        <v>2017</v>
      </c>
      <c r="E1042" s="490" t="s">
        <v>276</v>
      </c>
      <c r="F1042" s="78"/>
      <c r="G1042" s="78"/>
      <c r="I1042"/>
      <c r="J1042" s="647">
        <v>0</v>
      </c>
      <c r="K1042" s="492"/>
      <c r="L1042" s="469" t="s">
        <v>475</v>
      </c>
      <c r="Q1042" s="492"/>
    </row>
    <row r="1043" spans="1:17">
      <c r="A1043" s="486"/>
      <c r="C1043" s="490" t="s">
        <v>277</v>
      </c>
      <c r="D1043" s="942">
        <v>12</v>
      </c>
      <c r="E1043" s="490" t="s">
        <v>278</v>
      </c>
      <c r="F1043" s="78"/>
      <c r="G1043" s="78"/>
      <c r="I1043"/>
      <c r="J1043" s="493">
        <f>$F$70</f>
        <v>0.11017952320434825</v>
      </c>
      <c r="K1043" s="80"/>
      <c r="L1043" s="4" t="str">
        <f>"          INPUT TRUE-UP ARR (WITH &amp; WITHOUT INCENTIVES) FROM EACH PRIOR YEAR"</f>
        <v xml:space="preserve">          INPUT TRUE-UP ARR (WITH &amp; WITHOUT INCENTIVES) FROM EACH PRIOR YEAR</v>
      </c>
      <c r="Q1043" s="80"/>
    </row>
    <row r="1044" spans="1:17">
      <c r="A1044" s="486"/>
      <c r="C1044" s="490" t="s">
        <v>279</v>
      </c>
      <c r="D1044" s="494">
        <f>H79</f>
        <v>42</v>
      </c>
      <c r="E1044" s="490" t="s">
        <v>280</v>
      </c>
      <c r="F1044" s="78"/>
      <c r="G1044" s="78"/>
      <c r="I1044"/>
      <c r="J1044" s="493">
        <f>IF(H1035="",J1043,$F$69)</f>
        <v>0.11017952320434825</v>
      </c>
      <c r="K1044" s="80"/>
      <c r="L1044" s="4" t="s">
        <v>362</v>
      </c>
      <c r="M1044" s="80"/>
      <c r="N1044" s="80"/>
      <c r="O1044" s="80"/>
      <c r="Q1044" s="80"/>
    </row>
    <row r="1045" spans="1:17" ht="13.5" thickBot="1">
      <c r="A1045" s="486"/>
      <c r="C1045" s="490" t="s">
        <v>281</v>
      </c>
      <c r="D1045" s="646" t="s">
        <v>929</v>
      </c>
      <c r="E1045" s="495" t="s">
        <v>282</v>
      </c>
      <c r="F1045" s="496"/>
      <c r="G1045" s="496"/>
      <c r="H1045" s="497"/>
      <c r="I1045" s="497"/>
      <c r="J1045" s="482">
        <f>IF(D1041=0,0,D1041/D1044)</f>
        <v>228149.03690476192</v>
      </c>
      <c r="K1045" s="469"/>
      <c r="L1045" s="469" t="s">
        <v>363</v>
      </c>
      <c r="M1045" s="469"/>
      <c r="N1045" s="469"/>
      <c r="O1045" s="469"/>
      <c r="Q1045" s="469"/>
    </row>
    <row r="1046" spans="1:17" ht="38.25">
      <c r="A1046" s="12"/>
      <c r="B1046" s="12"/>
      <c r="C1046" s="498" t="s">
        <v>272</v>
      </c>
      <c r="D1046" s="499" t="s">
        <v>283</v>
      </c>
      <c r="E1046" s="500" t="s">
        <v>284</v>
      </c>
      <c r="F1046" s="499" t="s">
        <v>285</v>
      </c>
      <c r="G1046" s="499" t="s">
        <v>458</v>
      </c>
      <c r="H1046" s="500" t="s">
        <v>356</v>
      </c>
      <c r="I1046" s="501" t="s">
        <v>356</v>
      </c>
      <c r="J1046" s="498" t="s">
        <v>295</v>
      </c>
      <c r="K1046" s="502"/>
      <c r="L1046" s="500" t="s">
        <v>358</v>
      </c>
      <c r="M1046" s="500" t="s">
        <v>364</v>
      </c>
      <c r="N1046" s="500" t="s">
        <v>358</v>
      </c>
      <c r="O1046" s="500" t="s">
        <v>366</v>
      </c>
      <c r="P1046" s="500" t="s">
        <v>286</v>
      </c>
      <c r="Q1046" s="127"/>
    </row>
    <row r="1047" spans="1:17" ht="13.5" thickBot="1">
      <c r="C1047" s="503" t="s">
        <v>177</v>
      </c>
      <c r="D1047" s="504" t="s">
        <v>178</v>
      </c>
      <c r="E1047" s="503" t="s">
        <v>37</v>
      </c>
      <c r="F1047" s="504" t="s">
        <v>178</v>
      </c>
      <c r="G1047" s="504" t="s">
        <v>178</v>
      </c>
      <c r="H1047" s="505" t="s">
        <v>298</v>
      </c>
      <c r="I1047" s="506" t="s">
        <v>300</v>
      </c>
      <c r="J1047" s="503" t="s">
        <v>389</v>
      </c>
      <c r="K1047" s="507"/>
      <c r="L1047" s="505" t="s">
        <v>287</v>
      </c>
      <c r="M1047" s="505" t="s">
        <v>287</v>
      </c>
      <c r="N1047" s="505" t="s">
        <v>467</v>
      </c>
      <c r="O1047" s="505" t="s">
        <v>467</v>
      </c>
      <c r="P1047" s="505" t="s">
        <v>467</v>
      </c>
      <c r="Q1047" s="134"/>
    </row>
    <row r="1048" spans="1:17">
      <c r="C1048" s="508">
        <f>IF(D1042= "","-",D1042)</f>
        <v>2017</v>
      </c>
      <c r="D1048" s="471">
        <f>+D1041</f>
        <v>9582259.5500000007</v>
      </c>
      <c r="E1048" s="509">
        <f>+J1045/12*(12-D1043)</f>
        <v>0</v>
      </c>
      <c r="F1048" s="553">
        <f t="shared" ref="F1048:F1107" si="96">+D1048-E1048</f>
        <v>9582259.5500000007</v>
      </c>
      <c r="G1048" s="471">
        <f t="shared" ref="G1048:G1107" si="97">+(D1048+F1048)/2</f>
        <v>9582259.5500000007</v>
      </c>
      <c r="H1048" s="510">
        <f>+J1043*G1048+E1048</f>
        <v>1055768.7884393127</v>
      </c>
      <c r="I1048" s="511">
        <f>+J1044*G1048+E1048</f>
        <v>1055768.7884393127</v>
      </c>
      <c r="J1048" s="512">
        <f t="shared" ref="J1048:J1107" si="98">+I1048-H1048</f>
        <v>0</v>
      </c>
      <c r="K1048" s="512"/>
      <c r="L1048" s="513">
        <v>0</v>
      </c>
      <c r="M1048" s="554">
        <f t="shared" ref="M1048:M1107" si="99">IF(L1048&lt;&gt;0,+H1048-L1048,0)</f>
        <v>0</v>
      </c>
      <c r="N1048" s="513">
        <v>0</v>
      </c>
      <c r="O1048" s="554">
        <f t="shared" ref="O1048:O1107" si="100">IF(N1048&lt;&gt;0,+I1048-N1048,0)</f>
        <v>0</v>
      </c>
      <c r="P1048" s="554">
        <f t="shared" ref="P1048:P1107" si="101">+O1048-M1048</f>
        <v>0</v>
      </c>
      <c r="Q1048" s="473"/>
    </row>
    <row r="1049" spans="1:17">
      <c r="C1049" s="508">
        <f>IF(D1042="","-",+C1048+1)</f>
        <v>2018</v>
      </c>
      <c r="D1049" s="471">
        <f t="shared" ref="D1049:D1107" si="102">F1048</f>
        <v>9582259.5500000007</v>
      </c>
      <c r="E1049" s="515">
        <f>IF(D1049&gt;$J$1045,$J$1045,D1049)</f>
        <v>228149.03690476192</v>
      </c>
      <c r="F1049" s="515">
        <f t="shared" si="96"/>
        <v>9354110.5130952392</v>
      </c>
      <c r="G1049" s="471">
        <f t="shared" si="97"/>
        <v>9468185.0315476209</v>
      </c>
      <c r="H1049" s="509">
        <f>+J1043*G1049+E1049</f>
        <v>1271349.1492912257</v>
      </c>
      <c r="I1049" s="516">
        <f>+J1044*G1049+E1049</f>
        <v>1271349.1492912257</v>
      </c>
      <c r="J1049" s="512">
        <f t="shared" si="98"/>
        <v>0</v>
      </c>
      <c r="K1049" s="512"/>
      <c r="L1049" s="517">
        <v>1174872</v>
      </c>
      <c r="M1049" s="512">
        <f t="shared" si="99"/>
        <v>96477.149291225709</v>
      </c>
      <c r="N1049" s="517">
        <v>1174872</v>
      </c>
      <c r="O1049" s="512">
        <f t="shared" si="100"/>
        <v>96477.149291225709</v>
      </c>
      <c r="P1049" s="512">
        <f t="shared" si="101"/>
        <v>0</v>
      </c>
      <c r="Q1049" s="473"/>
    </row>
    <row r="1050" spans="1:17">
      <c r="C1050" s="508">
        <f>IF(D1042="","-",+C1049+1)</f>
        <v>2019</v>
      </c>
      <c r="D1050" s="955">
        <f t="shared" si="102"/>
        <v>9354110.5130952392</v>
      </c>
      <c r="E1050" s="515">
        <f t="shared" ref="E1050:E1107" si="103">IF(D1050&gt;$J$1045,$J$1045,D1050)</f>
        <v>228149.03690476192</v>
      </c>
      <c r="F1050" s="515">
        <f t="shared" si="96"/>
        <v>9125961.4761904776</v>
      </c>
      <c r="G1050" s="471">
        <f t="shared" si="97"/>
        <v>9240035.9946428575</v>
      </c>
      <c r="H1050" s="509">
        <f>+J1043*G1050+E1050</f>
        <v>1246211.7971855276</v>
      </c>
      <c r="I1050" s="516">
        <f>+J1044*G1050+E1050</f>
        <v>1246211.7971855276</v>
      </c>
      <c r="J1050" s="512">
        <f t="shared" si="98"/>
        <v>0</v>
      </c>
      <c r="K1050" s="512"/>
      <c r="L1050" s="517">
        <v>1181808</v>
      </c>
      <c r="M1050" s="512">
        <f t="shared" si="99"/>
        <v>64403.797185527626</v>
      </c>
      <c r="N1050" s="517">
        <v>1181808</v>
      </c>
      <c r="O1050" s="512">
        <f t="shared" si="100"/>
        <v>64403.797185527626</v>
      </c>
      <c r="P1050" s="512">
        <f t="shared" si="101"/>
        <v>0</v>
      </c>
      <c r="Q1050" s="473"/>
    </row>
    <row r="1051" spans="1:17">
      <c r="C1051" s="508">
        <f>IF(D1042="","-",+C1050+1)</f>
        <v>2020</v>
      </c>
      <c r="D1051" s="955">
        <f t="shared" si="102"/>
        <v>9125961.4761904776</v>
      </c>
      <c r="E1051" s="515">
        <f t="shared" si="103"/>
        <v>228149.03690476192</v>
      </c>
      <c r="F1051" s="515">
        <f t="shared" si="96"/>
        <v>8897812.439285716</v>
      </c>
      <c r="G1051" s="471">
        <f t="shared" si="97"/>
        <v>9011886.9577380978</v>
      </c>
      <c r="H1051" s="509">
        <f>+J1043*G1051+E1051</f>
        <v>1221074.44507983</v>
      </c>
      <c r="I1051" s="516">
        <f>+J1044*G1051+E1051</f>
        <v>1221074.44507983</v>
      </c>
      <c r="J1051" s="512">
        <f t="shared" si="98"/>
        <v>0</v>
      </c>
      <c r="K1051" s="512"/>
      <c r="L1051" s="517">
        <v>1110564.6850760612</v>
      </c>
      <c r="M1051" s="512">
        <f t="shared" si="99"/>
        <v>110509.76000376884</v>
      </c>
      <c r="N1051" s="517">
        <v>1110564.6850760612</v>
      </c>
      <c r="O1051" s="512">
        <f t="shared" si="100"/>
        <v>110509.76000376884</v>
      </c>
      <c r="P1051" s="512">
        <f t="shared" si="101"/>
        <v>0</v>
      </c>
      <c r="Q1051" s="473"/>
    </row>
    <row r="1052" spans="1:17">
      <c r="C1052" s="508">
        <f>IF(D1042="","-",+C1051+1)</f>
        <v>2021</v>
      </c>
      <c r="D1052" s="955">
        <f t="shared" si="102"/>
        <v>8897812.439285716</v>
      </c>
      <c r="E1052" s="515">
        <f t="shared" si="103"/>
        <v>228149.03690476192</v>
      </c>
      <c r="F1052" s="515">
        <f t="shared" si="96"/>
        <v>8669663.4023809545</v>
      </c>
      <c r="G1052" s="471">
        <f t="shared" si="97"/>
        <v>8783737.9208333343</v>
      </c>
      <c r="H1052" s="509">
        <f>+J1043*G1052+E1052</f>
        <v>1195937.0929741319</v>
      </c>
      <c r="I1052" s="516">
        <f>+J1044*G1052+E1052</f>
        <v>1195937.0929741319</v>
      </c>
      <c r="J1052" s="512">
        <f t="shared" si="98"/>
        <v>0</v>
      </c>
      <c r="K1052" s="512"/>
      <c r="L1052" s="517">
        <v>1123491.0735588395</v>
      </c>
      <c r="M1052" s="512">
        <f t="shared" si="99"/>
        <v>72446.019415292423</v>
      </c>
      <c r="N1052" s="517">
        <v>1123491.0735588395</v>
      </c>
      <c r="O1052" s="512">
        <f t="shared" si="100"/>
        <v>72446.019415292423</v>
      </c>
      <c r="P1052" s="512">
        <f t="shared" si="101"/>
        <v>0</v>
      </c>
      <c r="Q1052" s="473"/>
    </row>
    <row r="1053" spans="1:17">
      <c r="C1053" s="508">
        <f>IF(D1042="","-",+C1052+1)</f>
        <v>2022</v>
      </c>
      <c r="D1053" s="471">
        <f t="shared" si="102"/>
        <v>8669663.4023809545</v>
      </c>
      <c r="E1053" s="515">
        <f t="shared" si="103"/>
        <v>228149.03690476192</v>
      </c>
      <c r="F1053" s="515">
        <f t="shared" si="96"/>
        <v>8441514.3654761929</v>
      </c>
      <c r="G1053" s="471">
        <f t="shared" si="97"/>
        <v>8555588.8839285746</v>
      </c>
      <c r="H1053" s="509">
        <f>+J1043*G1053+E1053</f>
        <v>1170799.7408684343</v>
      </c>
      <c r="I1053" s="516">
        <f>+J1044*G1053+E1053</f>
        <v>1170799.7408684343</v>
      </c>
      <c r="J1053" s="512">
        <f t="shared" si="98"/>
        <v>0</v>
      </c>
      <c r="K1053" s="512"/>
      <c r="L1053" s="517">
        <v>1111541.5192683607</v>
      </c>
      <c r="M1053" s="512">
        <f t="shared" si="99"/>
        <v>59258.221600073623</v>
      </c>
      <c r="N1053" s="517">
        <v>1111541.5192683607</v>
      </c>
      <c r="O1053" s="512">
        <f t="shared" si="100"/>
        <v>59258.221600073623</v>
      </c>
      <c r="P1053" s="512">
        <f t="shared" si="101"/>
        <v>0</v>
      </c>
      <c r="Q1053" s="473"/>
    </row>
    <row r="1054" spans="1:17">
      <c r="C1054" s="508">
        <f>IF(D1042="","-",+C1053+1)</f>
        <v>2023</v>
      </c>
      <c r="D1054" s="471">
        <f t="shared" si="102"/>
        <v>8441514.3654761929</v>
      </c>
      <c r="E1054" s="515">
        <f t="shared" si="103"/>
        <v>228149.03690476192</v>
      </c>
      <c r="F1054" s="515">
        <f t="shared" si="96"/>
        <v>8213365.3285714313</v>
      </c>
      <c r="G1054" s="471">
        <f t="shared" si="97"/>
        <v>8327439.8470238121</v>
      </c>
      <c r="H1054" s="509">
        <f>+J1043*G1054+E1054</f>
        <v>1145662.3887627362</v>
      </c>
      <c r="I1054" s="516">
        <f>+J1044*G1054+E1054</f>
        <v>1145662.3887627362</v>
      </c>
      <c r="J1054" s="512">
        <f t="shared" si="98"/>
        <v>0</v>
      </c>
      <c r="K1054" s="512"/>
      <c r="L1054" s="517">
        <v>1153662.4994624322</v>
      </c>
      <c r="M1054" s="512">
        <f t="shared" si="99"/>
        <v>-8000.1106996960007</v>
      </c>
      <c r="N1054" s="517">
        <v>1153662.4994624322</v>
      </c>
      <c r="O1054" s="512">
        <f t="shared" si="100"/>
        <v>-8000.1106996960007</v>
      </c>
      <c r="P1054" s="512">
        <f t="shared" si="101"/>
        <v>0</v>
      </c>
      <c r="Q1054" s="473"/>
    </row>
    <row r="1055" spans="1:17">
      <c r="C1055" s="508">
        <f>IF(D1042="","-",+C1054+1)</f>
        <v>2024</v>
      </c>
      <c r="D1055" s="471">
        <f t="shared" si="102"/>
        <v>8213365.3285714313</v>
      </c>
      <c r="E1055" s="515">
        <f t="shared" si="103"/>
        <v>228149.03690476192</v>
      </c>
      <c r="F1055" s="515">
        <f t="shared" si="96"/>
        <v>7985216.2916666698</v>
      </c>
      <c r="G1055" s="471">
        <f t="shared" si="97"/>
        <v>8099290.8101190506</v>
      </c>
      <c r="H1055" s="509">
        <f>+J1043*G1055+E1055</f>
        <v>1120525.0366570384</v>
      </c>
      <c r="I1055" s="516">
        <f>+J1044*G1055+E1055</f>
        <v>1120525.0366570384</v>
      </c>
      <c r="J1055" s="512">
        <f t="shared" si="98"/>
        <v>0</v>
      </c>
      <c r="K1055" s="512"/>
      <c r="L1055" s="517">
        <v>1113729.0232925727</v>
      </c>
      <c r="M1055" s="512">
        <f t="shared" si="99"/>
        <v>6796.0133644656744</v>
      </c>
      <c r="N1055" s="517">
        <v>1113729.0232925727</v>
      </c>
      <c r="O1055" s="512">
        <f t="shared" si="100"/>
        <v>6796.0133644656744</v>
      </c>
      <c r="P1055" s="512">
        <f t="shared" si="101"/>
        <v>0</v>
      </c>
      <c r="Q1055" s="473"/>
    </row>
    <row r="1056" spans="1:17">
      <c r="C1056" s="508">
        <f>IF(D1042="","-",+C1055+1)</f>
        <v>2025</v>
      </c>
      <c r="D1056" s="471">
        <f t="shared" si="102"/>
        <v>7985216.2916666698</v>
      </c>
      <c r="E1056" s="515">
        <f t="shared" si="103"/>
        <v>228149.03690476192</v>
      </c>
      <c r="F1056" s="515">
        <f t="shared" si="96"/>
        <v>7757067.2547619082</v>
      </c>
      <c r="G1056" s="471">
        <f t="shared" si="97"/>
        <v>7871141.773214289</v>
      </c>
      <c r="H1056" s="509">
        <f>+J1043*G1056+E1056</f>
        <v>1095387.6845513405</v>
      </c>
      <c r="I1056" s="516">
        <f>+J1044*G1056+E1056</f>
        <v>1095387.6845513405</v>
      </c>
      <c r="J1056" s="512">
        <f t="shared" si="98"/>
        <v>0</v>
      </c>
      <c r="K1056" s="512"/>
      <c r="L1056" s="517">
        <v>1093306.4565591787</v>
      </c>
      <c r="M1056" s="512">
        <f t="shared" si="99"/>
        <v>2081.2279921618756</v>
      </c>
      <c r="N1056" s="517">
        <v>1093306.4565591787</v>
      </c>
      <c r="O1056" s="512">
        <f t="shared" si="100"/>
        <v>2081.2279921618756</v>
      </c>
      <c r="P1056" s="512">
        <f t="shared" si="101"/>
        <v>0</v>
      </c>
      <c r="Q1056" s="473"/>
    </row>
    <row r="1057" spans="3:17">
      <c r="C1057" s="508">
        <f>IF(D1042="","-",+C1056+1)</f>
        <v>2026</v>
      </c>
      <c r="D1057" s="471">
        <f t="shared" si="102"/>
        <v>7757067.2547619082</v>
      </c>
      <c r="E1057" s="515">
        <f t="shared" si="103"/>
        <v>228149.03690476192</v>
      </c>
      <c r="F1057" s="515">
        <f t="shared" si="96"/>
        <v>7528918.2178571466</v>
      </c>
      <c r="G1057" s="471">
        <f t="shared" si="97"/>
        <v>7642992.7363095274</v>
      </c>
      <c r="H1057" s="509">
        <f>+J1043*G1057+E1057</f>
        <v>1070250.3324456424</v>
      </c>
      <c r="I1057" s="516">
        <f>+J1044*G1057+E1057</f>
        <v>1070250.3324456424</v>
      </c>
      <c r="J1057" s="512">
        <f t="shared" si="98"/>
        <v>0</v>
      </c>
      <c r="K1057" s="512"/>
      <c r="L1057" s="517">
        <v>0</v>
      </c>
      <c r="M1057" s="512">
        <f t="shared" si="99"/>
        <v>0</v>
      </c>
      <c r="N1057" s="517">
        <v>0</v>
      </c>
      <c r="O1057" s="512">
        <f t="shared" si="100"/>
        <v>0</v>
      </c>
      <c r="P1057" s="512">
        <f t="shared" si="101"/>
        <v>0</v>
      </c>
      <c r="Q1057" s="473"/>
    </row>
    <row r="1058" spans="3:17">
      <c r="C1058" s="508">
        <f>IF(D1042="","-",+C1057+1)</f>
        <v>2027</v>
      </c>
      <c r="D1058" s="471">
        <f t="shared" si="102"/>
        <v>7528918.2178571466</v>
      </c>
      <c r="E1058" s="515">
        <f t="shared" si="103"/>
        <v>228149.03690476192</v>
      </c>
      <c r="F1058" s="515">
        <f t="shared" si="96"/>
        <v>7300769.1809523851</v>
      </c>
      <c r="G1058" s="471">
        <f t="shared" si="97"/>
        <v>7414843.6994047659</v>
      </c>
      <c r="H1058" s="509">
        <f>+J1043*G1058+E1058</f>
        <v>1045112.9803399447</v>
      </c>
      <c r="I1058" s="516">
        <f>+J1044*G1058+E1058</f>
        <v>1045112.9803399447</v>
      </c>
      <c r="J1058" s="512">
        <f t="shared" si="98"/>
        <v>0</v>
      </c>
      <c r="K1058" s="512"/>
      <c r="L1058" s="517">
        <v>0</v>
      </c>
      <c r="M1058" s="512">
        <f t="shared" si="99"/>
        <v>0</v>
      </c>
      <c r="N1058" s="517">
        <v>0</v>
      </c>
      <c r="O1058" s="512">
        <f t="shared" si="100"/>
        <v>0</v>
      </c>
      <c r="P1058" s="512">
        <f t="shared" si="101"/>
        <v>0</v>
      </c>
      <c r="Q1058" s="473"/>
    </row>
    <row r="1059" spans="3:17">
      <c r="C1059" s="508">
        <f>IF(D1042="","-",+C1058+1)</f>
        <v>2028</v>
      </c>
      <c r="D1059" s="471">
        <f t="shared" si="102"/>
        <v>7300769.1809523851</v>
      </c>
      <c r="E1059" s="515">
        <f t="shared" si="103"/>
        <v>228149.03690476192</v>
      </c>
      <c r="F1059" s="515">
        <f t="shared" si="96"/>
        <v>7072620.1440476235</v>
      </c>
      <c r="G1059" s="471">
        <f t="shared" si="97"/>
        <v>7186694.6625000043</v>
      </c>
      <c r="H1059" s="509">
        <f>+J1043*G1059+E1059</f>
        <v>1019975.6282342469</v>
      </c>
      <c r="I1059" s="516">
        <f>+J1044*G1059+E1059</f>
        <v>1019975.6282342469</v>
      </c>
      <c r="J1059" s="512">
        <f t="shared" si="98"/>
        <v>0</v>
      </c>
      <c r="K1059" s="512"/>
      <c r="L1059" s="517"/>
      <c r="M1059" s="512">
        <f t="shared" si="99"/>
        <v>0</v>
      </c>
      <c r="N1059" s="517"/>
      <c r="O1059" s="512">
        <f t="shared" si="100"/>
        <v>0</v>
      </c>
      <c r="P1059" s="512">
        <f t="shared" si="101"/>
        <v>0</v>
      </c>
      <c r="Q1059" s="473"/>
    </row>
    <row r="1060" spans="3:17">
      <c r="C1060" s="508">
        <f>IF(D1042="","-",+C1059+1)</f>
        <v>2029</v>
      </c>
      <c r="D1060" s="471">
        <f t="shared" si="102"/>
        <v>7072620.1440476235</v>
      </c>
      <c r="E1060" s="515">
        <f t="shared" si="103"/>
        <v>228149.03690476192</v>
      </c>
      <c r="F1060" s="515">
        <f t="shared" si="96"/>
        <v>6844471.1071428619</v>
      </c>
      <c r="G1060" s="471">
        <f t="shared" si="97"/>
        <v>6958545.6255952427</v>
      </c>
      <c r="H1060" s="509">
        <f>+J1043*G1060+E1060</f>
        <v>994838.27612854901</v>
      </c>
      <c r="I1060" s="516">
        <f>+J1044*G1060+E1060</f>
        <v>994838.27612854901</v>
      </c>
      <c r="J1060" s="512">
        <f t="shared" si="98"/>
        <v>0</v>
      </c>
      <c r="K1060" s="512"/>
      <c r="L1060" s="517"/>
      <c r="M1060" s="512">
        <f t="shared" si="99"/>
        <v>0</v>
      </c>
      <c r="N1060" s="517"/>
      <c r="O1060" s="512">
        <f t="shared" si="100"/>
        <v>0</v>
      </c>
      <c r="P1060" s="512">
        <f t="shared" si="101"/>
        <v>0</v>
      </c>
      <c r="Q1060" s="473"/>
    </row>
    <row r="1061" spans="3:17">
      <c r="C1061" s="508">
        <f>IF(D1042="","-",+C1060+1)</f>
        <v>2030</v>
      </c>
      <c r="D1061" s="471">
        <f t="shared" si="102"/>
        <v>6844471.1071428619</v>
      </c>
      <c r="E1061" s="515">
        <f t="shared" si="103"/>
        <v>228149.03690476192</v>
      </c>
      <c r="F1061" s="515">
        <f t="shared" si="96"/>
        <v>6616322.0702381004</v>
      </c>
      <c r="G1061" s="471">
        <f t="shared" si="97"/>
        <v>6730396.5886904811</v>
      </c>
      <c r="H1061" s="509">
        <f>+J1043*G1061+E1061</f>
        <v>969700.92402285105</v>
      </c>
      <c r="I1061" s="516">
        <f>+J1044*G1061+E1061</f>
        <v>969700.92402285105</v>
      </c>
      <c r="J1061" s="512">
        <f t="shared" si="98"/>
        <v>0</v>
      </c>
      <c r="K1061" s="512"/>
      <c r="L1061" s="517"/>
      <c r="M1061" s="512">
        <f t="shared" si="99"/>
        <v>0</v>
      </c>
      <c r="N1061" s="517"/>
      <c r="O1061" s="512">
        <f t="shared" si="100"/>
        <v>0</v>
      </c>
      <c r="P1061" s="512">
        <f t="shared" si="101"/>
        <v>0</v>
      </c>
      <c r="Q1061" s="473"/>
    </row>
    <row r="1062" spans="3:17">
      <c r="C1062" s="508">
        <f>IF(D1042="","-",+C1061+1)</f>
        <v>2031</v>
      </c>
      <c r="D1062" s="471">
        <f t="shared" si="102"/>
        <v>6616322.0702381004</v>
      </c>
      <c r="E1062" s="515">
        <f t="shared" si="103"/>
        <v>228149.03690476192</v>
      </c>
      <c r="F1062" s="515">
        <f t="shared" si="96"/>
        <v>6388173.0333333388</v>
      </c>
      <c r="G1062" s="471">
        <f t="shared" si="97"/>
        <v>6502247.5517857196</v>
      </c>
      <c r="H1062" s="509">
        <f>+J1043*G1062+E1062</f>
        <v>944563.5719171532</v>
      </c>
      <c r="I1062" s="516">
        <f>+J1044*G1062+E1062</f>
        <v>944563.5719171532</v>
      </c>
      <c r="J1062" s="512">
        <f t="shared" si="98"/>
        <v>0</v>
      </c>
      <c r="K1062" s="512"/>
      <c r="L1062" s="517"/>
      <c r="M1062" s="512">
        <f t="shared" si="99"/>
        <v>0</v>
      </c>
      <c r="N1062" s="517"/>
      <c r="O1062" s="512">
        <f t="shared" si="100"/>
        <v>0</v>
      </c>
      <c r="P1062" s="512">
        <f t="shared" si="101"/>
        <v>0</v>
      </c>
      <c r="Q1062" s="473"/>
    </row>
    <row r="1063" spans="3:17">
      <c r="C1063" s="508">
        <f>IF(D1042="","-",+C1062+1)</f>
        <v>2032</v>
      </c>
      <c r="D1063" s="471">
        <f t="shared" si="102"/>
        <v>6388173.0333333388</v>
      </c>
      <c r="E1063" s="515">
        <f t="shared" si="103"/>
        <v>228149.03690476192</v>
      </c>
      <c r="F1063" s="515">
        <f t="shared" si="96"/>
        <v>6160023.9964285772</v>
      </c>
      <c r="G1063" s="471">
        <f t="shared" si="97"/>
        <v>6274098.514880958</v>
      </c>
      <c r="H1063" s="509">
        <f>+J1043*G1063+E1063</f>
        <v>919426.21981145535</v>
      </c>
      <c r="I1063" s="516">
        <f>+J1044*G1063+E1063</f>
        <v>919426.21981145535</v>
      </c>
      <c r="J1063" s="512">
        <f t="shared" si="98"/>
        <v>0</v>
      </c>
      <c r="K1063" s="512"/>
      <c r="L1063" s="517"/>
      <c r="M1063" s="512">
        <f t="shared" si="99"/>
        <v>0</v>
      </c>
      <c r="N1063" s="517"/>
      <c r="O1063" s="512">
        <f t="shared" si="100"/>
        <v>0</v>
      </c>
      <c r="P1063" s="512">
        <f t="shared" si="101"/>
        <v>0</v>
      </c>
      <c r="Q1063" s="473"/>
    </row>
    <row r="1064" spans="3:17">
      <c r="C1064" s="508">
        <f>IF(D1042="","-",+C1063+1)</f>
        <v>2033</v>
      </c>
      <c r="D1064" s="471">
        <f t="shared" si="102"/>
        <v>6160023.9964285772</v>
      </c>
      <c r="E1064" s="515">
        <f t="shared" si="103"/>
        <v>228149.03690476192</v>
      </c>
      <c r="F1064" s="515">
        <f t="shared" si="96"/>
        <v>5931874.9595238157</v>
      </c>
      <c r="G1064" s="471">
        <f t="shared" si="97"/>
        <v>6045949.4779761964</v>
      </c>
      <c r="H1064" s="509">
        <f>+J1043*G1064+E1064</f>
        <v>894288.86770575738</v>
      </c>
      <c r="I1064" s="516">
        <f>+J1044*G1064+E1064</f>
        <v>894288.86770575738</v>
      </c>
      <c r="J1064" s="512">
        <f t="shared" si="98"/>
        <v>0</v>
      </c>
      <c r="K1064" s="512"/>
      <c r="L1064" s="517"/>
      <c r="M1064" s="512">
        <f t="shared" si="99"/>
        <v>0</v>
      </c>
      <c r="N1064" s="517"/>
      <c r="O1064" s="512">
        <f t="shared" si="100"/>
        <v>0</v>
      </c>
      <c r="P1064" s="512">
        <f t="shared" si="101"/>
        <v>0</v>
      </c>
      <c r="Q1064" s="473"/>
    </row>
    <row r="1065" spans="3:17">
      <c r="C1065" s="508">
        <f>IF(D1042="","-",+C1064+1)</f>
        <v>2034</v>
      </c>
      <c r="D1065" s="471">
        <f t="shared" si="102"/>
        <v>5931874.9595238157</v>
      </c>
      <c r="E1065" s="515">
        <f t="shared" si="103"/>
        <v>228149.03690476192</v>
      </c>
      <c r="F1065" s="515">
        <f t="shared" si="96"/>
        <v>5703725.9226190541</v>
      </c>
      <c r="G1065" s="471">
        <f t="shared" si="97"/>
        <v>5817800.4410714349</v>
      </c>
      <c r="H1065" s="509">
        <f>+J1043*G1065+E1065</f>
        <v>869151.51560005953</v>
      </c>
      <c r="I1065" s="516">
        <f>+J1044*G1065+E1065</f>
        <v>869151.51560005953</v>
      </c>
      <c r="J1065" s="512">
        <f t="shared" si="98"/>
        <v>0</v>
      </c>
      <c r="K1065" s="512"/>
      <c r="L1065" s="517"/>
      <c r="M1065" s="512">
        <f t="shared" si="99"/>
        <v>0</v>
      </c>
      <c r="N1065" s="517"/>
      <c r="O1065" s="512">
        <f t="shared" si="100"/>
        <v>0</v>
      </c>
      <c r="P1065" s="512">
        <f t="shared" si="101"/>
        <v>0</v>
      </c>
      <c r="Q1065" s="473"/>
    </row>
    <row r="1066" spans="3:17">
      <c r="C1066" s="508">
        <f>IF(D1042="","-",+C1065+1)</f>
        <v>2035</v>
      </c>
      <c r="D1066" s="471">
        <f t="shared" si="102"/>
        <v>5703725.9226190541</v>
      </c>
      <c r="E1066" s="515">
        <f t="shared" si="103"/>
        <v>228149.03690476192</v>
      </c>
      <c r="F1066" s="515">
        <f t="shared" si="96"/>
        <v>5475576.8857142925</v>
      </c>
      <c r="G1066" s="471">
        <f t="shared" si="97"/>
        <v>5589651.4041666733</v>
      </c>
      <c r="H1066" s="509">
        <f>+J1043*G1066+E1066</f>
        <v>844014.16349436168</v>
      </c>
      <c r="I1066" s="516">
        <f>+J1044*G1066+E1066</f>
        <v>844014.16349436168</v>
      </c>
      <c r="J1066" s="512">
        <f t="shared" si="98"/>
        <v>0</v>
      </c>
      <c r="K1066" s="512"/>
      <c r="L1066" s="517"/>
      <c r="M1066" s="512">
        <f t="shared" si="99"/>
        <v>0</v>
      </c>
      <c r="N1066" s="517"/>
      <c r="O1066" s="512">
        <f t="shared" si="100"/>
        <v>0</v>
      </c>
      <c r="P1066" s="512">
        <f t="shared" si="101"/>
        <v>0</v>
      </c>
      <c r="Q1066" s="473"/>
    </row>
    <row r="1067" spans="3:17">
      <c r="C1067" s="508">
        <f>IF(D1042="","-",+C1066+1)</f>
        <v>2036</v>
      </c>
      <c r="D1067" s="471">
        <f t="shared" si="102"/>
        <v>5475576.8857142925</v>
      </c>
      <c r="E1067" s="515">
        <f t="shared" si="103"/>
        <v>228149.03690476192</v>
      </c>
      <c r="F1067" s="515">
        <f t="shared" si="96"/>
        <v>5247427.848809531</v>
      </c>
      <c r="G1067" s="471">
        <f t="shared" si="97"/>
        <v>5361502.3672619117</v>
      </c>
      <c r="H1067" s="509">
        <f>+J1043*G1067+E1067</f>
        <v>818876.81138866383</v>
      </c>
      <c r="I1067" s="516">
        <f>+J1044*G1067+E1067</f>
        <v>818876.81138866383</v>
      </c>
      <c r="J1067" s="512">
        <f t="shared" si="98"/>
        <v>0</v>
      </c>
      <c r="K1067" s="512"/>
      <c r="L1067" s="517"/>
      <c r="M1067" s="512">
        <f t="shared" si="99"/>
        <v>0</v>
      </c>
      <c r="N1067" s="517"/>
      <c r="O1067" s="512">
        <f t="shared" si="100"/>
        <v>0</v>
      </c>
      <c r="P1067" s="512">
        <f t="shared" si="101"/>
        <v>0</v>
      </c>
      <c r="Q1067" s="473"/>
    </row>
    <row r="1068" spans="3:17">
      <c r="C1068" s="508">
        <f>IF(D1042="","-",+C1067+1)</f>
        <v>2037</v>
      </c>
      <c r="D1068" s="471">
        <f t="shared" si="102"/>
        <v>5247427.848809531</v>
      </c>
      <c r="E1068" s="515">
        <f t="shared" si="103"/>
        <v>228149.03690476192</v>
      </c>
      <c r="F1068" s="515">
        <f t="shared" si="96"/>
        <v>5019278.8119047694</v>
      </c>
      <c r="G1068" s="471">
        <f t="shared" si="97"/>
        <v>5133353.3303571502</v>
      </c>
      <c r="H1068" s="509">
        <f>+J1043*G1068+E1068</f>
        <v>793739.45928296586</v>
      </c>
      <c r="I1068" s="516">
        <f>+J1044*G1068+E1068</f>
        <v>793739.45928296586</v>
      </c>
      <c r="J1068" s="512">
        <f t="shared" si="98"/>
        <v>0</v>
      </c>
      <c r="K1068" s="512"/>
      <c r="L1068" s="517"/>
      <c r="M1068" s="512">
        <f t="shared" si="99"/>
        <v>0</v>
      </c>
      <c r="N1068" s="517"/>
      <c r="O1068" s="512">
        <f t="shared" si="100"/>
        <v>0</v>
      </c>
      <c r="P1068" s="512">
        <f t="shared" si="101"/>
        <v>0</v>
      </c>
      <c r="Q1068" s="473"/>
    </row>
    <row r="1069" spans="3:17">
      <c r="C1069" s="508">
        <f>IF(D1042="","-",+C1068+1)</f>
        <v>2038</v>
      </c>
      <c r="D1069" s="471">
        <f t="shared" si="102"/>
        <v>5019278.8119047694</v>
      </c>
      <c r="E1069" s="515">
        <f t="shared" si="103"/>
        <v>228149.03690476192</v>
      </c>
      <c r="F1069" s="515">
        <f t="shared" si="96"/>
        <v>4791129.7750000078</v>
      </c>
      <c r="G1069" s="471">
        <f t="shared" si="97"/>
        <v>4905204.2934523886</v>
      </c>
      <c r="H1069" s="509">
        <f>+J1043*G1069+E1069</f>
        <v>768602.10717726802</v>
      </c>
      <c r="I1069" s="516">
        <f>+J1044*G1069+E1069</f>
        <v>768602.10717726802</v>
      </c>
      <c r="J1069" s="512">
        <f t="shared" si="98"/>
        <v>0</v>
      </c>
      <c r="K1069" s="512"/>
      <c r="L1069" s="517"/>
      <c r="M1069" s="512">
        <f t="shared" si="99"/>
        <v>0</v>
      </c>
      <c r="N1069" s="517"/>
      <c r="O1069" s="512">
        <f t="shared" si="100"/>
        <v>0</v>
      </c>
      <c r="P1069" s="512">
        <f t="shared" si="101"/>
        <v>0</v>
      </c>
      <c r="Q1069" s="473"/>
    </row>
    <row r="1070" spans="3:17">
      <c r="C1070" s="508">
        <f>IF(D1042="","-",+C1069+1)</f>
        <v>2039</v>
      </c>
      <c r="D1070" s="471">
        <f t="shared" si="102"/>
        <v>4791129.7750000078</v>
      </c>
      <c r="E1070" s="515">
        <f t="shared" si="103"/>
        <v>228149.03690476192</v>
      </c>
      <c r="F1070" s="515">
        <f t="shared" si="96"/>
        <v>4562980.7380952463</v>
      </c>
      <c r="G1070" s="471">
        <f t="shared" si="97"/>
        <v>4677055.256547627</v>
      </c>
      <c r="H1070" s="509">
        <f>+J1043*G1070+E1070</f>
        <v>743464.75507157017</v>
      </c>
      <c r="I1070" s="516">
        <f>+J1044*G1070+E1070</f>
        <v>743464.75507157017</v>
      </c>
      <c r="J1070" s="512">
        <f t="shared" si="98"/>
        <v>0</v>
      </c>
      <c r="K1070" s="512"/>
      <c r="L1070" s="517"/>
      <c r="M1070" s="512">
        <f t="shared" si="99"/>
        <v>0</v>
      </c>
      <c r="N1070" s="517"/>
      <c r="O1070" s="512">
        <f t="shared" si="100"/>
        <v>0</v>
      </c>
      <c r="P1070" s="512">
        <f t="shared" si="101"/>
        <v>0</v>
      </c>
      <c r="Q1070" s="473"/>
    </row>
    <row r="1071" spans="3:17">
      <c r="C1071" s="508">
        <f>IF(D1042="","-",+C1070+1)</f>
        <v>2040</v>
      </c>
      <c r="D1071" s="471">
        <f t="shared" si="102"/>
        <v>4562980.7380952463</v>
      </c>
      <c r="E1071" s="515">
        <f t="shared" si="103"/>
        <v>228149.03690476192</v>
      </c>
      <c r="F1071" s="515">
        <f t="shared" si="96"/>
        <v>4334831.7011904847</v>
      </c>
      <c r="G1071" s="471">
        <f t="shared" si="97"/>
        <v>4448906.2196428655</v>
      </c>
      <c r="H1071" s="509">
        <f>+J1043*G1071+E1071</f>
        <v>718327.40296587232</v>
      </c>
      <c r="I1071" s="516">
        <f>+J1044*G1071+E1071</f>
        <v>718327.40296587232</v>
      </c>
      <c r="J1071" s="512">
        <f t="shared" si="98"/>
        <v>0</v>
      </c>
      <c r="K1071" s="512"/>
      <c r="L1071" s="517"/>
      <c r="M1071" s="512">
        <f t="shared" si="99"/>
        <v>0</v>
      </c>
      <c r="N1071" s="517"/>
      <c r="O1071" s="512">
        <f t="shared" si="100"/>
        <v>0</v>
      </c>
      <c r="P1071" s="512">
        <f t="shared" si="101"/>
        <v>0</v>
      </c>
      <c r="Q1071" s="473"/>
    </row>
    <row r="1072" spans="3:17">
      <c r="C1072" s="508">
        <f>IF(D1042="","-",+C1071+1)</f>
        <v>2041</v>
      </c>
      <c r="D1072" s="471">
        <f t="shared" si="102"/>
        <v>4334831.7011904847</v>
      </c>
      <c r="E1072" s="515">
        <f t="shared" si="103"/>
        <v>228149.03690476192</v>
      </c>
      <c r="F1072" s="515">
        <f t="shared" si="96"/>
        <v>4106682.6642857227</v>
      </c>
      <c r="G1072" s="471">
        <f t="shared" si="97"/>
        <v>4220757.1827381039</v>
      </c>
      <c r="H1072" s="509">
        <f>+J1043*G1072+E1072</f>
        <v>693190.05086017435</v>
      </c>
      <c r="I1072" s="516">
        <f>+J1044*G1072+E1072</f>
        <v>693190.05086017435</v>
      </c>
      <c r="J1072" s="512">
        <f t="shared" si="98"/>
        <v>0</v>
      </c>
      <c r="K1072" s="512"/>
      <c r="L1072" s="517"/>
      <c r="M1072" s="512">
        <f t="shared" si="99"/>
        <v>0</v>
      </c>
      <c r="N1072" s="517"/>
      <c r="O1072" s="512">
        <f t="shared" si="100"/>
        <v>0</v>
      </c>
      <c r="P1072" s="512">
        <f t="shared" si="101"/>
        <v>0</v>
      </c>
      <c r="Q1072" s="473"/>
    </row>
    <row r="1073" spans="3:17">
      <c r="C1073" s="508">
        <f>IF(D1042="","-",+C1072+1)</f>
        <v>2042</v>
      </c>
      <c r="D1073" s="471">
        <f t="shared" si="102"/>
        <v>4106682.6642857227</v>
      </c>
      <c r="E1073" s="515">
        <f t="shared" si="103"/>
        <v>228149.03690476192</v>
      </c>
      <c r="F1073" s="515">
        <f t="shared" si="96"/>
        <v>3878533.6273809606</v>
      </c>
      <c r="G1073" s="471">
        <f t="shared" si="97"/>
        <v>3992608.1458333414</v>
      </c>
      <c r="H1073" s="509">
        <f>+J1043*G1073+E1073</f>
        <v>668052.69875447638</v>
      </c>
      <c r="I1073" s="516">
        <f>+J1044*G1073+E1073</f>
        <v>668052.69875447638</v>
      </c>
      <c r="J1073" s="512">
        <f t="shared" si="98"/>
        <v>0</v>
      </c>
      <c r="K1073" s="512"/>
      <c r="L1073" s="517"/>
      <c r="M1073" s="512">
        <f t="shared" si="99"/>
        <v>0</v>
      </c>
      <c r="N1073" s="517"/>
      <c r="O1073" s="512">
        <f t="shared" si="100"/>
        <v>0</v>
      </c>
      <c r="P1073" s="512">
        <f t="shared" si="101"/>
        <v>0</v>
      </c>
      <c r="Q1073" s="473"/>
    </row>
    <row r="1074" spans="3:17">
      <c r="C1074" s="508">
        <f>IF(D1042="","-",+C1073+1)</f>
        <v>2043</v>
      </c>
      <c r="D1074" s="471">
        <f t="shared" si="102"/>
        <v>3878533.6273809606</v>
      </c>
      <c r="E1074" s="515">
        <f t="shared" si="103"/>
        <v>228149.03690476192</v>
      </c>
      <c r="F1074" s="515">
        <f t="shared" si="96"/>
        <v>3650384.5904761986</v>
      </c>
      <c r="G1074" s="471">
        <f t="shared" si="97"/>
        <v>3764459.1089285798</v>
      </c>
      <c r="H1074" s="509">
        <f>+J1043*G1074+E1074</f>
        <v>642915.34664877853</v>
      </c>
      <c r="I1074" s="516">
        <f>+J1044*G1074+E1074</f>
        <v>642915.34664877853</v>
      </c>
      <c r="J1074" s="512">
        <f t="shared" si="98"/>
        <v>0</v>
      </c>
      <c r="K1074" s="512"/>
      <c r="L1074" s="517"/>
      <c r="M1074" s="512">
        <f t="shared" si="99"/>
        <v>0</v>
      </c>
      <c r="N1074" s="517"/>
      <c r="O1074" s="512">
        <f t="shared" si="100"/>
        <v>0</v>
      </c>
      <c r="P1074" s="512">
        <f t="shared" si="101"/>
        <v>0</v>
      </c>
      <c r="Q1074" s="473"/>
    </row>
    <row r="1075" spans="3:17">
      <c r="C1075" s="508">
        <f>IF(D1042="","-",+C1074+1)</f>
        <v>2044</v>
      </c>
      <c r="D1075" s="471">
        <f t="shared" si="102"/>
        <v>3650384.5904761986</v>
      </c>
      <c r="E1075" s="515">
        <f t="shared" si="103"/>
        <v>228149.03690476192</v>
      </c>
      <c r="F1075" s="515">
        <f t="shared" si="96"/>
        <v>3422235.5535714366</v>
      </c>
      <c r="G1075" s="471">
        <f t="shared" si="97"/>
        <v>3536310.0720238173</v>
      </c>
      <c r="H1075" s="509">
        <f>+J1043*G1075+E1075</f>
        <v>617777.99454308045</v>
      </c>
      <c r="I1075" s="516">
        <f>+J1044*G1075+E1075</f>
        <v>617777.99454308045</v>
      </c>
      <c r="J1075" s="512">
        <f t="shared" si="98"/>
        <v>0</v>
      </c>
      <c r="K1075" s="512"/>
      <c r="L1075" s="517"/>
      <c r="M1075" s="512">
        <f t="shared" si="99"/>
        <v>0</v>
      </c>
      <c r="N1075" s="517"/>
      <c r="O1075" s="512">
        <f t="shared" si="100"/>
        <v>0</v>
      </c>
      <c r="P1075" s="512">
        <f t="shared" si="101"/>
        <v>0</v>
      </c>
      <c r="Q1075" s="473"/>
    </row>
    <row r="1076" spans="3:17">
      <c r="C1076" s="508">
        <f>IF(D1042="","-",+C1075+1)</f>
        <v>2045</v>
      </c>
      <c r="D1076" s="471">
        <f t="shared" si="102"/>
        <v>3422235.5535714366</v>
      </c>
      <c r="E1076" s="515">
        <f t="shared" si="103"/>
        <v>228149.03690476192</v>
      </c>
      <c r="F1076" s="515">
        <f t="shared" si="96"/>
        <v>3194086.5166666745</v>
      </c>
      <c r="G1076" s="471">
        <f t="shared" si="97"/>
        <v>3308161.0351190558</v>
      </c>
      <c r="H1076" s="509">
        <f>+J1043*G1076+E1076</f>
        <v>592640.6424373826</v>
      </c>
      <c r="I1076" s="516">
        <f>+J1044*G1076+E1076</f>
        <v>592640.6424373826</v>
      </c>
      <c r="J1076" s="512">
        <f t="shared" si="98"/>
        <v>0</v>
      </c>
      <c r="K1076" s="512"/>
      <c r="L1076" s="517"/>
      <c r="M1076" s="512">
        <f t="shared" si="99"/>
        <v>0</v>
      </c>
      <c r="N1076" s="517"/>
      <c r="O1076" s="512">
        <f t="shared" si="100"/>
        <v>0</v>
      </c>
      <c r="P1076" s="512">
        <f t="shared" si="101"/>
        <v>0</v>
      </c>
      <c r="Q1076" s="473"/>
    </row>
    <row r="1077" spans="3:17">
      <c r="C1077" s="508">
        <f>IF(D1042="","-",+C1076+1)</f>
        <v>2046</v>
      </c>
      <c r="D1077" s="471">
        <f t="shared" si="102"/>
        <v>3194086.5166666745</v>
      </c>
      <c r="E1077" s="515">
        <f t="shared" si="103"/>
        <v>228149.03690476192</v>
      </c>
      <c r="F1077" s="515">
        <f t="shared" si="96"/>
        <v>2965937.4797619125</v>
      </c>
      <c r="G1077" s="471">
        <f t="shared" si="97"/>
        <v>3080011.9982142933</v>
      </c>
      <c r="H1077" s="509">
        <f>+J1043*G1077+E1077</f>
        <v>567503.29033168464</v>
      </c>
      <c r="I1077" s="516">
        <f>+J1044*G1077+E1077</f>
        <v>567503.29033168464</v>
      </c>
      <c r="J1077" s="512">
        <f t="shared" si="98"/>
        <v>0</v>
      </c>
      <c r="K1077" s="512"/>
      <c r="L1077" s="517"/>
      <c r="M1077" s="512">
        <f t="shared" si="99"/>
        <v>0</v>
      </c>
      <c r="N1077" s="517"/>
      <c r="O1077" s="512">
        <f t="shared" si="100"/>
        <v>0</v>
      </c>
      <c r="P1077" s="512">
        <f t="shared" si="101"/>
        <v>0</v>
      </c>
      <c r="Q1077" s="473"/>
    </row>
    <row r="1078" spans="3:17">
      <c r="C1078" s="508">
        <f>IF(D1042="","-",+C1077+1)</f>
        <v>2047</v>
      </c>
      <c r="D1078" s="471">
        <f t="shared" si="102"/>
        <v>2965937.4797619125</v>
      </c>
      <c r="E1078" s="515">
        <f t="shared" si="103"/>
        <v>228149.03690476192</v>
      </c>
      <c r="F1078" s="515">
        <f t="shared" si="96"/>
        <v>2737788.4428571505</v>
      </c>
      <c r="G1078" s="471">
        <f t="shared" si="97"/>
        <v>2851862.9613095317</v>
      </c>
      <c r="H1078" s="509">
        <f>+J1043*G1078+E1078</f>
        <v>542365.93822598679</v>
      </c>
      <c r="I1078" s="516">
        <f>+J1044*G1078+E1078</f>
        <v>542365.93822598679</v>
      </c>
      <c r="J1078" s="512">
        <f t="shared" si="98"/>
        <v>0</v>
      </c>
      <c r="K1078" s="512"/>
      <c r="L1078" s="517"/>
      <c r="M1078" s="512">
        <f t="shared" si="99"/>
        <v>0</v>
      </c>
      <c r="N1078" s="517"/>
      <c r="O1078" s="512">
        <f t="shared" si="100"/>
        <v>0</v>
      </c>
      <c r="P1078" s="512">
        <f t="shared" si="101"/>
        <v>0</v>
      </c>
      <c r="Q1078" s="473"/>
    </row>
    <row r="1079" spans="3:17">
      <c r="C1079" s="508">
        <f>IF(D1042="","-",+C1078+1)</f>
        <v>2048</v>
      </c>
      <c r="D1079" s="471">
        <f t="shared" si="102"/>
        <v>2737788.4428571505</v>
      </c>
      <c r="E1079" s="515">
        <f t="shared" si="103"/>
        <v>228149.03690476192</v>
      </c>
      <c r="F1079" s="515">
        <f t="shared" si="96"/>
        <v>2509639.4059523884</v>
      </c>
      <c r="G1079" s="471">
        <f t="shared" si="97"/>
        <v>2623713.9244047692</v>
      </c>
      <c r="H1079" s="509">
        <f>+J1043*G1079+E1079</f>
        <v>517228.58612028882</v>
      </c>
      <c r="I1079" s="516">
        <f>+J1044*G1079+E1079</f>
        <v>517228.58612028882</v>
      </c>
      <c r="J1079" s="512">
        <f t="shared" si="98"/>
        <v>0</v>
      </c>
      <c r="K1079" s="512"/>
      <c r="L1079" s="517"/>
      <c r="M1079" s="512">
        <f t="shared" si="99"/>
        <v>0</v>
      </c>
      <c r="N1079" s="517"/>
      <c r="O1079" s="512">
        <f t="shared" si="100"/>
        <v>0</v>
      </c>
      <c r="P1079" s="512">
        <f t="shared" si="101"/>
        <v>0</v>
      </c>
      <c r="Q1079" s="473"/>
    </row>
    <row r="1080" spans="3:17">
      <c r="C1080" s="508">
        <f>IF(D1042="","-",+C1079+1)</f>
        <v>2049</v>
      </c>
      <c r="D1080" s="471">
        <f t="shared" si="102"/>
        <v>2509639.4059523884</v>
      </c>
      <c r="E1080" s="515">
        <f t="shared" si="103"/>
        <v>228149.03690476192</v>
      </c>
      <c r="F1080" s="515">
        <f t="shared" si="96"/>
        <v>2281490.3690476264</v>
      </c>
      <c r="G1080" s="471">
        <f t="shared" si="97"/>
        <v>2395564.8875000076</v>
      </c>
      <c r="H1080" s="509">
        <f>+J1043*G1080+E1080</f>
        <v>492091.23401459091</v>
      </c>
      <c r="I1080" s="516">
        <f>+J1044*G1080+E1080</f>
        <v>492091.23401459091</v>
      </c>
      <c r="J1080" s="512">
        <f t="shared" si="98"/>
        <v>0</v>
      </c>
      <c r="K1080" s="512"/>
      <c r="L1080" s="517"/>
      <c r="M1080" s="512">
        <f t="shared" si="99"/>
        <v>0</v>
      </c>
      <c r="N1080" s="517"/>
      <c r="O1080" s="512">
        <f t="shared" si="100"/>
        <v>0</v>
      </c>
      <c r="P1080" s="512">
        <f t="shared" si="101"/>
        <v>0</v>
      </c>
      <c r="Q1080" s="473"/>
    </row>
    <row r="1081" spans="3:17">
      <c r="C1081" s="508">
        <f>IF(D1042="","-",+C1080+1)</f>
        <v>2050</v>
      </c>
      <c r="D1081" s="471">
        <f t="shared" si="102"/>
        <v>2281490.3690476264</v>
      </c>
      <c r="E1081" s="515">
        <f t="shared" si="103"/>
        <v>228149.03690476192</v>
      </c>
      <c r="F1081" s="515">
        <f t="shared" si="96"/>
        <v>2053341.3321428644</v>
      </c>
      <c r="G1081" s="471">
        <f t="shared" si="97"/>
        <v>2167415.8505952451</v>
      </c>
      <c r="H1081" s="509">
        <f>+J1043*G1081+E1081</f>
        <v>466953.88190889289</v>
      </c>
      <c r="I1081" s="516">
        <f>+J1044*G1081+E1081</f>
        <v>466953.88190889289</v>
      </c>
      <c r="J1081" s="512">
        <f t="shared" si="98"/>
        <v>0</v>
      </c>
      <c r="K1081" s="512"/>
      <c r="L1081" s="517"/>
      <c r="M1081" s="512">
        <f t="shared" si="99"/>
        <v>0</v>
      </c>
      <c r="N1081" s="517"/>
      <c r="O1081" s="512">
        <f t="shared" si="100"/>
        <v>0</v>
      </c>
      <c r="P1081" s="512">
        <f t="shared" si="101"/>
        <v>0</v>
      </c>
      <c r="Q1081" s="473"/>
    </row>
    <row r="1082" spans="3:17">
      <c r="C1082" s="508">
        <f>IF(D1042="","-",+C1081+1)</f>
        <v>2051</v>
      </c>
      <c r="D1082" s="471">
        <f t="shared" si="102"/>
        <v>2053341.3321428644</v>
      </c>
      <c r="E1082" s="515">
        <f t="shared" si="103"/>
        <v>228149.03690476192</v>
      </c>
      <c r="F1082" s="515">
        <f t="shared" si="96"/>
        <v>1825192.2952381023</v>
      </c>
      <c r="G1082" s="471">
        <f t="shared" si="97"/>
        <v>1939266.8136904833</v>
      </c>
      <c r="H1082" s="509">
        <f>+J1043*G1082+E1082</f>
        <v>441816.52980319504</v>
      </c>
      <c r="I1082" s="516">
        <f>+J1044*G1082+E1082</f>
        <v>441816.52980319504</v>
      </c>
      <c r="J1082" s="512">
        <f t="shared" si="98"/>
        <v>0</v>
      </c>
      <c r="K1082" s="512"/>
      <c r="L1082" s="517"/>
      <c r="M1082" s="512">
        <f t="shared" si="99"/>
        <v>0</v>
      </c>
      <c r="N1082" s="517"/>
      <c r="O1082" s="512">
        <f t="shared" si="100"/>
        <v>0</v>
      </c>
      <c r="P1082" s="512">
        <f t="shared" si="101"/>
        <v>0</v>
      </c>
      <c r="Q1082" s="473"/>
    </row>
    <row r="1083" spans="3:17">
      <c r="C1083" s="508">
        <f>IF(D1042="","-",+C1082+1)</f>
        <v>2052</v>
      </c>
      <c r="D1083" s="471">
        <f t="shared" si="102"/>
        <v>1825192.2952381023</v>
      </c>
      <c r="E1083" s="515">
        <f t="shared" si="103"/>
        <v>228149.03690476192</v>
      </c>
      <c r="F1083" s="515">
        <f t="shared" si="96"/>
        <v>1597043.2583333403</v>
      </c>
      <c r="G1083" s="471">
        <f t="shared" si="97"/>
        <v>1711117.7767857213</v>
      </c>
      <c r="H1083" s="509">
        <f>+J1043*G1083+E1083</f>
        <v>416679.17769749707</v>
      </c>
      <c r="I1083" s="516">
        <f>+J1044*G1083+E1083</f>
        <v>416679.17769749707</v>
      </c>
      <c r="J1083" s="512">
        <f t="shared" si="98"/>
        <v>0</v>
      </c>
      <c r="K1083" s="512"/>
      <c r="L1083" s="517"/>
      <c r="M1083" s="512">
        <f t="shared" si="99"/>
        <v>0</v>
      </c>
      <c r="N1083" s="517"/>
      <c r="O1083" s="512">
        <f t="shared" si="100"/>
        <v>0</v>
      </c>
      <c r="P1083" s="512">
        <f t="shared" si="101"/>
        <v>0</v>
      </c>
      <c r="Q1083" s="473"/>
    </row>
    <row r="1084" spans="3:17">
      <c r="C1084" s="508">
        <f>IF(D1042="","-",+C1083+1)</f>
        <v>2053</v>
      </c>
      <c r="D1084" s="471">
        <f t="shared" si="102"/>
        <v>1597043.2583333403</v>
      </c>
      <c r="E1084" s="515">
        <f t="shared" si="103"/>
        <v>228149.03690476192</v>
      </c>
      <c r="F1084" s="515">
        <f t="shared" si="96"/>
        <v>1368894.2214285783</v>
      </c>
      <c r="G1084" s="471">
        <f t="shared" si="97"/>
        <v>1482968.7398809593</v>
      </c>
      <c r="H1084" s="509">
        <f>+J1043*G1084+E1084</f>
        <v>391541.82559179916</v>
      </c>
      <c r="I1084" s="516">
        <f>+J1044*G1084+E1084</f>
        <v>391541.82559179916</v>
      </c>
      <c r="J1084" s="512">
        <f t="shared" si="98"/>
        <v>0</v>
      </c>
      <c r="K1084" s="512"/>
      <c r="L1084" s="517"/>
      <c r="M1084" s="512">
        <f t="shared" si="99"/>
        <v>0</v>
      </c>
      <c r="N1084" s="517"/>
      <c r="O1084" s="512">
        <f t="shared" si="100"/>
        <v>0</v>
      </c>
      <c r="P1084" s="512">
        <f t="shared" si="101"/>
        <v>0</v>
      </c>
      <c r="Q1084" s="473"/>
    </row>
    <row r="1085" spans="3:17">
      <c r="C1085" s="508">
        <f>IF(D1042="","-",+C1084+1)</f>
        <v>2054</v>
      </c>
      <c r="D1085" s="471">
        <f t="shared" si="102"/>
        <v>1368894.2214285783</v>
      </c>
      <c r="E1085" s="515">
        <f t="shared" si="103"/>
        <v>228149.03690476192</v>
      </c>
      <c r="F1085" s="515">
        <f t="shared" si="96"/>
        <v>1140745.1845238162</v>
      </c>
      <c r="G1085" s="471">
        <f t="shared" si="97"/>
        <v>1254819.7029761972</v>
      </c>
      <c r="H1085" s="509">
        <f>+J1043*G1085+E1085</f>
        <v>366404.47348610125</v>
      </c>
      <c r="I1085" s="516">
        <f>+J1044*G1085+E1085</f>
        <v>366404.47348610125</v>
      </c>
      <c r="J1085" s="512">
        <f t="shared" si="98"/>
        <v>0</v>
      </c>
      <c r="K1085" s="512"/>
      <c r="L1085" s="517"/>
      <c r="M1085" s="512">
        <f t="shared" si="99"/>
        <v>0</v>
      </c>
      <c r="N1085" s="517"/>
      <c r="O1085" s="512">
        <f t="shared" si="100"/>
        <v>0</v>
      </c>
      <c r="P1085" s="512">
        <f t="shared" si="101"/>
        <v>0</v>
      </c>
      <c r="Q1085" s="473"/>
    </row>
    <row r="1086" spans="3:17">
      <c r="C1086" s="508">
        <f>IF(D1042="","-",+C1085+1)</f>
        <v>2055</v>
      </c>
      <c r="D1086" s="471">
        <f t="shared" si="102"/>
        <v>1140745.1845238162</v>
      </c>
      <c r="E1086" s="515">
        <f t="shared" si="103"/>
        <v>228149.03690476192</v>
      </c>
      <c r="F1086" s="515">
        <f t="shared" si="96"/>
        <v>912596.1476190543</v>
      </c>
      <c r="G1086" s="471">
        <f t="shared" si="97"/>
        <v>1026670.6660714352</v>
      </c>
      <c r="H1086" s="509">
        <f>+J1043*G1086+E1086</f>
        <v>341267.12138040329</v>
      </c>
      <c r="I1086" s="516">
        <f>+J1044*G1086+E1086</f>
        <v>341267.12138040329</v>
      </c>
      <c r="J1086" s="512">
        <f t="shared" si="98"/>
        <v>0</v>
      </c>
      <c r="K1086" s="512"/>
      <c r="L1086" s="517"/>
      <c r="M1086" s="512">
        <f t="shared" si="99"/>
        <v>0</v>
      </c>
      <c r="N1086" s="517"/>
      <c r="O1086" s="512">
        <f t="shared" si="100"/>
        <v>0</v>
      </c>
      <c r="P1086" s="512">
        <f t="shared" si="101"/>
        <v>0</v>
      </c>
      <c r="Q1086" s="473"/>
    </row>
    <row r="1087" spans="3:17">
      <c r="C1087" s="508">
        <f>IF(D1042="","-",+C1086+1)</f>
        <v>2056</v>
      </c>
      <c r="D1087" s="471">
        <f t="shared" si="102"/>
        <v>912596.1476190543</v>
      </c>
      <c r="E1087" s="515">
        <f t="shared" si="103"/>
        <v>228149.03690476192</v>
      </c>
      <c r="F1087" s="515">
        <f t="shared" si="96"/>
        <v>684447.11071429239</v>
      </c>
      <c r="G1087" s="471">
        <f t="shared" si="97"/>
        <v>798521.6291666734</v>
      </c>
      <c r="H1087" s="509">
        <f>+J1043*G1087+E1087</f>
        <v>316129.76927470538</v>
      </c>
      <c r="I1087" s="516">
        <f>+J1044*G1087+E1087</f>
        <v>316129.76927470538</v>
      </c>
      <c r="J1087" s="512">
        <f t="shared" si="98"/>
        <v>0</v>
      </c>
      <c r="K1087" s="512"/>
      <c r="L1087" s="517"/>
      <c r="M1087" s="512">
        <f t="shared" si="99"/>
        <v>0</v>
      </c>
      <c r="N1087" s="517"/>
      <c r="O1087" s="512">
        <f t="shared" si="100"/>
        <v>0</v>
      </c>
      <c r="P1087" s="512">
        <f t="shared" si="101"/>
        <v>0</v>
      </c>
      <c r="Q1087" s="473"/>
    </row>
    <row r="1088" spans="3:17">
      <c r="C1088" s="508">
        <f>IF(D1042="","-",+C1087+1)</f>
        <v>2057</v>
      </c>
      <c r="D1088" s="471">
        <f t="shared" si="102"/>
        <v>684447.11071429239</v>
      </c>
      <c r="E1088" s="515">
        <f t="shared" si="103"/>
        <v>228149.03690476192</v>
      </c>
      <c r="F1088" s="515">
        <f t="shared" si="96"/>
        <v>456298.07380953047</v>
      </c>
      <c r="G1088" s="471">
        <f t="shared" si="97"/>
        <v>570372.59226191137</v>
      </c>
      <c r="H1088" s="509">
        <f>+J1043*G1088+E1088</f>
        <v>290992.41716900747</v>
      </c>
      <c r="I1088" s="516">
        <f>+J1044*G1088+E1088</f>
        <v>290992.41716900747</v>
      </c>
      <c r="J1088" s="512">
        <f t="shared" si="98"/>
        <v>0</v>
      </c>
      <c r="K1088" s="512"/>
      <c r="L1088" s="517"/>
      <c r="M1088" s="512">
        <f t="shared" si="99"/>
        <v>0</v>
      </c>
      <c r="N1088" s="517"/>
      <c r="O1088" s="512">
        <f t="shared" si="100"/>
        <v>0</v>
      </c>
      <c r="P1088" s="512">
        <f t="shared" si="101"/>
        <v>0</v>
      </c>
      <c r="Q1088" s="473"/>
    </row>
    <row r="1089" spans="3:17">
      <c r="C1089" s="508">
        <f>IF(D1042="","-",+C1088+1)</f>
        <v>2058</v>
      </c>
      <c r="D1089" s="471">
        <f t="shared" si="102"/>
        <v>456298.07380953047</v>
      </c>
      <c r="E1089" s="515">
        <f t="shared" si="103"/>
        <v>228149.03690476192</v>
      </c>
      <c r="F1089" s="515">
        <f t="shared" si="96"/>
        <v>228149.03690476855</v>
      </c>
      <c r="G1089" s="471">
        <f t="shared" si="97"/>
        <v>342223.55535714951</v>
      </c>
      <c r="H1089" s="509">
        <f>+J1043*G1089+E1089</f>
        <v>265855.06506330951</v>
      </c>
      <c r="I1089" s="516">
        <f>+J1044*G1089+E1089</f>
        <v>265855.06506330951</v>
      </c>
      <c r="J1089" s="512">
        <f t="shared" si="98"/>
        <v>0</v>
      </c>
      <c r="K1089" s="512"/>
      <c r="L1089" s="517"/>
      <c r="M1089" s="512">
        <f t="shared" si="99"/>
        <v>0</v>
      </c>
      <c r="N1089" s="517"/>
      <c r="O1089" s="512">
        <f t="shared" si="100"/>
        <v>0</v>
      </c>
      <c r="P1089" s="512">
        <f t="shared" si="101"/>
        <v>0</v>
      </c>
      <c r="Q1089" s="473"/>
    </row>
    <row r="1090" spans="3:17">
      <c r="C1090" s="508">
        <f>IF(D1042="","-",+C1089+1)</f>
        <v>2059</v>
      </c>
      <c r="D1090" s="471">
        <f t="shared" si="102"/>
        <v>228149.03690476855</v>
      </c>
      <c r="E1090" s="515">
        <f t="shared" si="103"/>
        <v>228149.03690476192</v>
      </c>
      <c r="F1090" s="515">
        <f t="shared" si="96"/>
        <v>6.6356733441352844E-9</v>
      </c>
      <c r="G1090" s="471">
        <f t="shared" si="97"/>
        <v>114074.51845238759</v>
      </c>
      <c r="H1090" s="509">
        <f>+J1043*G1090+E1090</f>
        <v>240717.7129576116</v>
      </c>
      <c r="I1090" s="516">
        <f>+J1044*G1090+E1090</f>
        <v>240717.7129576116</v>
      </c>
      <c r="J1090" s="512">
        <f t="shared" si="98"/>
        <v>0</v>
      </c>
      <c r="K1090" s="512"/>
      <c r="L1090" s="517"/>
      <c r="M1090" s="512">
        <f t="shared" si="99"/>
        <v>0</v>
      </c>
      <c r="N1090" s="517"/>
      <c r="O1090" s="512">
        <f t="shared" si="100"/>
        <v>0</v>
      </c>
      <c r="P1090" s="512">
        <f t="shared" si="101"/>
        <v>0</v>
      </c>
      <c r="Q1090" s="473"/>
    </row>
    <row r="1091" spans="3:17">
      <c r="C1091" s="508">
        <f>IF(D1042="","-",+C1090+1)</f>
        <v>2060</v>
      </c>
      <c r="D1091" s="471">
        <f t="shared" si="102"/>
        <v>6.6356733441352844E-9</v>
      </c>
      <c r="E1091" s="515">
        <f t="shared" si="103"/>
        <v>6.6356733441352844E-9</v>
      </c>
      <c r="F1091" s="515">
        <f t="shared" si="96"/>
        <v>0</v>
      </c>
      <c r="G1091" s="471">
        <f t="shared" si="97"/>
        <v>3.3178366720676422E-9</v>
      </c>
      <c r="H1091" s="509">
        <f>+J1043*G1091+E1091</f>
        <v>7.0012310067335986E-9</v>
      </c>
      <c r="I1091" s="516">
        <f>+J1044*G1091+E1091</f>
        <v>7.0012310067335986E-9</v>
      </c>
      <c r="J1091" s="512">
        <f t="shared" si="98"/>
        <v>0</v>
      </c>
      <c r="K1091" s="512"/>
      <c r="L1091" s="517"/>
      <c r="M1091" s="512">
        <f t="shared" si="99"/>
        <v>0</v>
      </c>
      <c r="N1091" s="517"/>
      <c r="O1091" s="512">
        <f t="shared" si="100"/>
        <v>0</v>
      </c>
      <c r="P1091" s="512">
        <f t="shared" si="101"/>
        <v>0</v>
      </c>
      <c r="Q1091" s="473"/>
    </row>
    <row r="1092" spans="3:17">
      <c r="C1092" s="508">
        <f>IF(D1042="","-",+C1091+1)</f>
        <v>2061</v>
      </c>
      <c r="D1092" s="471">
        <f t="shared" si="102"/>
        <v>0</v>
      </c>
      <c r="E1092" s="515">
        <f t="shared" si="103"/>
        <v>0</v>
      </c>
      <c r="F1092" s="515">
        <f t="shared" si="96"/>
        <v>0</v>
      </c>
      <c r="G1092" s="471">
        <f t="shared" si="97"/>
        <v>0</v>
      </c>
      <c r="H1092" s="509">
        <f>+J1043*G1092+E1092</f>
        <v>0</v>
      </c>
      <c r="I1092" s="516">
        <f>+J1044*G1092+E1092</f>
        <v>0</v>
      </c>
      <c r="J1092" s="512">
        <f t="shared" si="98"/>
        <v>0</v>
      </c>
      <c r="K1092" s="512"/>
      <c r="L1092" s="517"/>
      <c r="M1092" s="512">
        <f t="shared" si="99"/>
        <v>0</v>
      </c>
      <c r="N1092" s="517"/>
      <c r="O1092" s="512">
        <f t="shared" si="100"/>
        <v>0</v>
      </c>
      <c r="P1092" s="512">
        <f t="shared" si="101"/>
        <v>0</v>
      </c>
      <c r="Q1092" s="473"/>
    </row>
    <row r="1093" spans="3:17">
      <c r="C1093" s="508">
        <f>IF(D1042="","-",+C1092+1)</f>
        <v>2062</v>
      </c>
      <c r="D1093" s="471">
        <f t="shared" si="102"/>
        <v>0</v>
      </c>
      <c r="E1093" s="515">
        <f t="shared" si="103"/>
        <v>0</v>
      </c>
      <c r="F1093" s="515">
        <f t="shared" si="96"/>
        <v>0</v>
      </c>
      <c r="G1093" s="471">
        <f t="shared" si="97"/>
        <v>0</v>
      </c>
      <c r="H1093" s="509">
        <f>+J1043*G1093+E1093</f>
        <v>0</v>
      </c>
      <c r="I1093" s="516">
        <f>+J1044*G1093+E1093</f>
        <v>0</v>
      </c>
      <c r="J1093" s="512">
        <f t="shared" si="98"/>
        <v>0</v>
      </c>
      <c r="K1093" s="512"/>
      <c r="L1093" s="517"/>
      <c r="M1093" s="512">
        <f t="shared" si="99"/>
        <v>0</v>
      </c>
      <c r="N1093" s="517"/>
      <c r="O1093" s="512">
        <f t="shared" si="100"/>
        <v>0</v>
      </c>
      <c r="P1093" s="512">
        <f t="shared" si="101"/>
        <v>0</v>
      </c>
      <c r="Q1093" s="473"/>
    </row>
    <row r="1094" spans="3:17">
      <c r="C1094" s="508">
        <f>IF(D1042="","-",+C1093+1)</f>
        <v>2063</v>
      </c>
      <c r="D1094" s="471">
        <f t="shared" si="102"/>
        <v>0</v>
      </c>
      <c r="E1094" s="515">
        <f t="shared" si="103"/>
        <v>0</v>
      </c>
      <c r="F1094" s="515">
        <f t="shared" si="96"/>
        <v>0</v>
      </c>
      <c r="G1094" s="471">
        <f t="shared" si="97"/>
        <v>0</v>
      </c>
      <c r="H1094" s="509">
        <f>+J1043*G1094+E1094</f>
        <v>0</v>
      </c>
      <c r="I1094" s="516">
        <f>+J1044*G1094+E1094</f>
        <v>0</v>
      </c>
      <c r="J1094" s="512">
        <f t="shared" si="98"/>
        <v>0</v>
      </c>
      <c r="K1094" s="512"/>
      <c r="L1094" s="517"/>
      <c r="M1094" s="512">
        <f t="shared" si="99"/>
        <v>0</v>
      </c>
      <c r="N1094" s="517"/>
      <c r="O1094" s="512">
        <f t="shared" si="100"/>
        <v>0</v>
      </c>
      <c r="P1094" s="512">
        <f t="shared" si="101"/>
        <v>0</v>
      </c>
      <c r="Q1094" s="473"/>
    </row>
    <row r="1095" spans="3:17">
      <c r="C1095" s="508">
        <f>IF(D1042="","-",+C1094+1)</f>
        <v>2064</v>
      </c>
      <c r="D1095" s="471">
        <f t="shared" si="102"/>
        <v>0</v>
      </c>
      <c r="E1095" s="515">
        <f t="shared" si="103"/>
        <v>0</v>
      </c>
      <c r="F1095" s="515">
        <f t="shared" si="96"/>
        <v>0</v>
      </c>
      <c r="G1095" s="471">
        <f t="shared" si="97"/>
        <v>0</v>
      </c>
      <c r="H1095" s="509">
        <f>+J1043*G1095+E1095</f>
        <v>0</v>
      </c>
      <c r="I1095" s="516">
        <f>+J1044*G1095+E1095</f>
        <v>0</v>
      </c>
      <c r="J1095" s="512">
        <f t="shared" si="98"/>
        <v>0</v>
      </c>
      <c r="K1095" s="512"/>
      <c r="L1095" s="517"/>
      <c r="M1095" s="512">
        <f t="shared" si="99"/>
        <v>0</v>
      </c>
      <c r="N1095" s="517"/>
      <c r="O1095" s="512">
        <f t="shared" si="100"/>
        <v>0</v>
      </c>
      <c r="P1095" s="512">
        <f t="shared" si="101"/>
        <v>0</v>
      </c>
      <c r="Q1095" s="473"/>
    </row>
    <row r="1096" spans="3:17">
      <c r="C1096" s="508">
        <f>IF(D1042="","-",+C1095+1)</f>
        <v>2065</v>
      </c>
      <c r="D1096" s="471">
        <f t="shared" si="102"/>
        <v>0</v>
      </c>
      <c r="E1096" s="515">
        <f t="shared" si="103"/>
        <v>0</v>
      </c>
      <c r="F1096" s="515">
        <f t="shared" si="96"/>
        <v>0</v>
      </c>
      <c r="G1096" s="471">
        <f t="shared" si="97"/>
        <v>0</v>
      </c>
      <c r="H1096" s="509">
        <f>+J1043*G1096+E1096</f>
        <v>0</v>
      </c>
      <c r="I1096" s="516">
        <f>+J1044*G1096+E1096</f>
        <v>0</v>
      </c>
      <c r="J1096" s="512">
        <f t="shared" si="98"/>
        <v>0</v>
      </c>
      <c r="K1096" s="512"/>
      <c r="L1096" s="517"/>
      <c r="M1096" s="512">
        <f t="shared" si="99"/>
        <v>0</v>
      </c>
      <c r="N1096" s="517"/>
      <c r="O1096" s="512">
        <f t="shared" si="100"/>
        <v>0</v>
      </c>
      <c r="P1096" s="512">
        <f t="shared" si="101"/>
        <v>0</v>
      </c>
      <c r="Q1096" s="473"/>
    </row>
    <row r="1097" spans="3:17">
      <c r="C1097" s="508">
        <f>IF(D1042="","-",+C1096+1)</f>
        <v>2066</v>
      </c>
      <c r="D1097" s="471">
        <f t="shared" si="102"/>
        <v>0</v>
      </c>
      <c r="E1097" s="515">
        <f t="shared" si="103"/>
        <v>0</v>
      </c>
      <c r="F1097" s="515">
        <f t="shared" si="96"/>
        <v>0</v>
      </c>
      <c r="G1097" s="471">
        <f t="shared" si="97"/>
        <v>0</v>
      </c>
      <c r="H1097" s="509">
        <f>+J1043*G1097+E1097</f>
        <v>0</v>
      </c>
      <c r="I1097" s="516">
        <f>+J1044*G1097+E1097</f>
        <v>0</v>
      </c>
      <c r="J1097" s="512">
        <f t="shared" si="98"/>
        <v>0</v>
      </c>
      <c r="K1097" s="512"/>
      <c r="L1097" s="517"/>
      <c r="M1097" s="512">
        <f t="shared" si="99"/>
        <v>0</v>
      </c>
      <c r="N1097" s="517"/>
      <c r="O1097" s="512">
        <f t="shared" si="100"/>
        <v>0</v>
      </c>
      <c r="P1097" s="512">
        <f t="shared" si="101"/>
        <v>0</v>
      </c>
      <c r="Q1097" s="473"/>
    </row>
    <row r="1098" spans="3:17">
      <c r="C1098" s="508">
        <f>IF(D1042="","-",+C1097+1)</f>
        <v>2067</v>
      </c>
      <c r="D1098" s="471">
        <f t="shared" si="102"/>
        <v>0</v>
      </c>
      <c r="E1098" s="515">
        <f t="shared" si="103"/>
        <v>0</v>
      </c>
      <c r="F1098" s="515">
        <f t="shared" si="96"/>
        <v>0</v>
      </c>
      <c r="G1098" s="471">
        <f t="shared" si="97"/>
        <v>0</v>
      </c>
      <c r="H1098" s="509">
        <f>+J1043*G1098+E1098</f>
        <v>0</v>
      </c>
      <c r="I1098" s="516">
        <f>+J1044*G1098+E1098</f>
        <v>0</v>
      </c>
      <c r="J1098" s="512">
        <f t="shared" si="98"/>
        <v>0</v>
      </c>
      <c r="K1098" s="512"/>
      <c r="L1098" s="517"/>
      <c r="M1098" s="512">
        <f t="shared" si="99"/>
        <v>0</v>
      </c>
      <c r="N1098" s="517"/>
      <c r="O1098" s="512">
        <f t="shared" si="100"/>
        <v>0</v>
      </c>
      <c r="P1098" s="512">
        <f t="shared" si="101"/>
        <v>0</v>
      </c>
      <c r="Q1098" s="473"/>
    </row>
    <row r="1099" spans="3:17">
      <c r="C1099" s="508">
        <f>IF(D1042="","-",+C1098+1)</f>
        <v>2068</v>
      </c>
      <c r="D1099" s="471">
        <f t="shared" si="102"/>
        <v>0</v>
      </c>
      <c r="E1099" s="515">
        <f t="shared" si="103"/>
        <v>0</v>
      </c>
      <c r="F1099" s="515">
        <f t="shared" si="96"/>
        <v>0</v>
      </c>
      <c r="G1099" s="471">
        <f t="shared" si="97"/>
        <v>0</v>
      </c>
      <c r="H1099" s="509">
        <f>+J1043*G1099+E1099</f>
        <v>0</v>
      </c>
      <c r="I1099" s="516">
        <f>+J1044*G1099+E1099</f>
        <v>0</v>
      </c>
      <c r="J1099" s="512">
        <f t="shared" si="98"/>
        <v>0</v>
      </c>
      <c r="K1099" s="512"/>
      <c r="L1099" s="517"/>
      <c r="M1099" s="512">
        <f t="shared" si="99"/>
        <v>0</v>
      </c>
      <c r="N1099" s="517"/>
      <c r="O1099" s="512">
        <f t="shared" si="100"/>
        <v>0</v>
      </c>
      <c r="P1099" s="512">
        <f t="shared" si="101"/>
        <v>0</v>
      </c>
      <c r="Q1099" s="473"/>
    </row>
    <row r="1100" spans="3:17">
      <c r="C1100" s="508">
        <f>IF(D1042="","-",+C1099+1)</f>
        <v>2069</v>
      </c>
      <c r="D1100" s="471">
        <f t="shared" si="102"/>
        <v>0</v>
      </c>
      <c r="E1100" s="515">
        <f t="shared" si="103"/>
        <v>0</v>
      </c>
      <c r="F1100" s="515">
        <f t="shared" si="96"/>
        <v>0</v>
      </c>
      <c r="G1100" s="471">
        <f t="shared" si="97"/>
        <v>0</v>
      </c>
      <c r="H1100" s="509">
        <f>+J1043*G1100+E1100</f>
        <v>0</v>
      </c>
      <c r="I1100" s="516">
        <f>+J1044*G1100+E1100</f>
        <v>0</v>
      </c>
      <c r="J1100" s="512">
        <f t="shared" si="98"/>
        <v>0</v>
      </c>
      <c r="K1100" s="512"/>
      <c r="L1100" s="517"/>
      <c r="M1100" s="512">
        <f t="shared" si="99"/>
        <v>0</v>
      </c>
      <c r="N1100" s="517"/>
      <c r="O1100" s="512">
        <f t="shared" si="100"/>
        <v>0</v>
      </c>
      <c r="P1100" s="512">
        <f t="shared" si="101"/>
        <v>0</v>
      </c>
      <c r="Q1100" s="473"/>
    </row>
    <row r="1101" spans="3:17">
      <c r="C1101" s="508">
        <f>IF(D1042="","-",+C1100+1)</f>
        <v>2070</v>
      </c>
      <c r="D1101" s="471">
        <f t="shared" si="102"/>
        <v>0</v>
      </c>
      <c r="E1101" s="515">
        <f t="shared" si="103"/>
        <v>0</v>
      </c>
      <c r="F1101" s="515">
        <f t="shared" si="96"/>
        <v>0</v>
      </c>
      <c r="G1101" s="471">
        <f t="shared" si="97"/>
        <v>0</v>
      </c>
      <c r="H1101" s="509">
        <f>+J1043*G1101+E1101</f>
        <v>0</v>
      </c>
      <c r="I1101" s="516">
        <f>+J1044*G1101+E1101</f>
        <v>0</v>
      </c>
      <c r="J1101" s="512">
        <f t="shared" si="98"/>
        <v>0</v>
      </c>
      <c r="K1101" s="512"/>
      <c r="L1101" s="517"/>
      <c r="M1101" s="512">
        <f t="shared" si="99"/>
        <v>0</v>
      </c>
      <c r="N1101" s="517"/>
      <c r="O1101" s="512">
        <f t="shared" si="100"/>
        <v>0</v>
      </c>
      <c r="P1101" s="512">
        <f t="shared" si="101"/>
        <v>0</v>
      </c>
      <c r="Q1101" s="473"/>
    </row>
    <row r="1102" spans="3:17">
      <c r="C1102" s="508">
        <f>IF(D1042="","-",+C1101+1)</f>
        <v>2071</v>
      </c>
      <c r="D1102" s="471">
        <f t="shared" si="102"/>
        <v>0</v>
      </c>
      <c r="E1102" s="515">
        <f t="shared" si="103"/>
        <v>0</v>
      </c>
      <c r="F1102" s="515">
        <f t="shared" si="96"/>
        <v>0</v>
      </c>
      <c r="G1102" s="471">
        <f t="shared" si="97"/>
        <v>0</v>
      </c>
      <c r="H1102" s="509">
        <f>+J1043*G1102+E1102</f>
        <v>0</v>
      </c>
      <c r="I1102" s="516">
        <f>+J1044*G1102+E1102</f>
        <v>0</v>
      </c>
      <c r="J1102" s="512">
        <f t="shared" si="98"/>
        <v>0</v>
      </c>
      <c r="K1102" s="512"/>
      <c r="L1102" s="517"/>
      <c r="M1102" s="512">
        <f t="shared" si="99"/>
        <v>0</v>
      </c>
      <c r="N1102" s="517"/>
      <c r="O1102" s="512">
        <f t="shared" si="100"/>
        <v>0</v>
      </c>
      <c r="P1102" s="512">
        <f t="shared" si="101"/>
        <v>0</v>
      </c>
      <c r="Q1102" s="473"/>
    </row>
    <row r="1103" spans="3:17">
      <c r="C1103" s="508">
        <f>IF(D1042="","-",+C1102+1)</f>
        <v>2072</v>
      </c>
      <c r="D1103" s="471">
        <f t="shared" si="102"/>
        <v>0</v>
      </c>
      <c r="E1103" s="515">
        <f t="shared" si="103"/>
        <v>0</v>
      </c>
      <c r="F1103" s="515">
        <f t="shared" si="96"/>
        <v>0</v>
      </c>
      <c r="G1103" s="471">
        <f t="shared" si="97"/>
        <v>0</v>
      </c>
      <c r="H1103" s="509">
        <f>+J1043*G1103+E1103</f>
        <v>0</v>
      </c>
      <c r="I1103" s="516">
        <f>+J1044*G1103+E1103</f>
        <v>0</v>
      </c>
      <c r="J1103" s="512">
        <f t="shared" si="98"/>
        <v>0</v>
      </c>
      <c r="K1103" s="512"/>
      <c r="L1103" s="517"/>
      <c r="M1103" s="512">
        <f t="shared" si="99"/>
        <v>0</v>
      </c>
      <c r="N1103" s="517"/>
      <c r="O1103" s="512">
        <f t="shared" si="100"/>
        <v>0</v>
      </c>
      <c r="P1103" s="512">
        <f t="shared" si="101"/>
        <v>0</v>
      </c>
      <c r="Q1103" s="473"/>
    </row>
    <row r="1104" spans="3:17">
      <c r="C1104" s="508">
        <f>IF(D1042="","-",+C1103+1)</f>
        <v>2073</v>
      </c>
      <c r="D1104" s="471">
        <f t="shared" si="102"/>
        <v>0</v>
      </c>
      <c r="E1104" s="515">
        <f t="shared" si="103"/>
        <v>0</v>
      </c>
      <c r="F1104" s="515">
        <f t="shared" si="96"/>
        <v>0</v>
      </c>
      <c r="G1104" s="471">
        <f t="shared" si="97"/>
        <v>0</v>
      </c>
      <c r="H1104" s="509">
        <f>+J1043*G1104+E1104</f>
        <v>0</v>
      </c>
      <c r="I1104" s="516">
        <f>+J1044*G1104+E1104</f>
        <v>0</v>
      </c>
      <c r="J1104" s="512">
        <f t="shared" si="98"/>
        <v>0</v>
      </c>
      <c r="K1104" s="512"/>
      <c r="L1104" s="517"/>
      <c r="M1104" s="512">
        <f t="shared" si="99"/>
        <v>0</v>
      </c>
      <c r="N1104" s="517"/>
      <c r="O1104" s="512">
        <f t="shared" si="100"/>
        <v>0</v>
      </c>
      <c r="P1104" s="512">
        <f t="shared" si="101"/>
        <v>0</v>
      </c>
      <c r="Q1104" s="473"/>
    </row>
    <row r="1105" spans="1:17">
      <c r="C1105" s="508">
        <f>IF(D1042="","-",+C1104+1)</f>
        <v>2074</v>
      </c>
      <c r="D1105" s="471">
        <f t="shared" si="102"/>
        <v>0</v>
      </c>
      <c r="E1105" s="515">
        <f t="shared" si="103"/>
        <v>0</v>
      </c>
      <c r="F1105" s="515">
        <f t="shared" si="96"/>
        <v>0</v>
      </c>
      <c r="G1105" s="471">
        <f t="shared" si="97"/>
        <v>0</v>
      </c>
      <c r="H1105" s="509">
        <f>+J1043*G1105+E1105</f>
        <v>0</v>
      </c>
      <c r="I1105" s="516">
        <f>+J1044*G1105+E1105</f>
        <v>0</v>
      </c>
      <c r="J1105" s="512">
        <f t="shared" si="98"/>
        <v>0</v>
      </c>
      <c r="K1105" s="512"/>
      <c r="L1105" s="517"/>
      <c r="M1105" s="512">
        <f t="shared" si="99"/>
        <v>0</v>
      </c>
      <c r="N1105" s="517"/>
      <c r="O1105" s="512">
        <f t="shared" si="100"/>
        <v>0</v>
      </c>
      <c r="P1105" s="512">
        <f t="shared" si="101"/>
        <v>0</v>
      </c>
      <c r="Q1105" s="473"/>
    </row>
    <row r="1106" spans="1:17">
      <c r="C1106" s="508">
        <f>IF(D1042="","-",+C1105+1)</f>
        <v>2075</v>
      </c>
      <c r="D1106" s="471">
        <f t="shared" si="102"/>
        <v>0</v>
      </c>
      <c r="E1106" s="515">
        <f t="shared" si="103"/>
        <v>0</v>
      </c>
      <c r="F1106" s="515">
        <f t="shared" si="96"/>
        <v>0</v>
      </c>
      <c r="G1106" s="471">
        <f t="shared" si="97"/>
        <v>0</v>
      </c>
      <c r="H1106" s="509">
        <f>+J1043*G1106+E1106</f>
        <v>0</v>
      </c>
      <c r="I1106" s="516">
        <f>+J1044*G1106+E1106</f>
        <v>0</v>
      </c>
      <c r="J1106" s="512">
        <f t="shared" si="98"/>
        <v>0</v>
      </c>
      <c r="K1106" s="512"/>
      <c r="L1106" s="517"/>
      <c r="M1106" s="512">
        <f t="shared" si="99"/>
        <v>0</v>
      </c>
      <c r="N1106" s="517"/>
      <c r="O1106" s="512">
        <f t="shared" si="100"/>
        <v>0</v>
      </c>
      <c r="P1106" s="512">
        <f t="shared" si="101"/>
        <v>0</v>
      </c>
      <c r="Q1106" s="473"/>
    </row>
    <row r="1107" spans="1:17" ht="13.5" thickBot="1">
      <c r="C1107" s="520">
        <f>IF(D1042="","-",+C1106+1)</f>
        <v>2076</v>
      </c>
      <c r="D1107" s="521">
        <f t="shared" si="102"/>
        <v>0</v>
      </c>
      <c r="E1107" s="522">
        <f t="shared" si="103"/>
        <v>0</v>
      </c>
      <c r="F1107" s="522">
        <f t="shared" si="96"/>
        <v>0</v>
      </c>
      <c r="G1107" s="521">
        <f t="shared" si="97"/>
        <v>0</v>
      </c>
      <c r="H1107" s="523">
        <f>+J1043*G1107+E1107</f>
        <v>0</v>
      </c>
      <c r="I1107" s="523">
        <f>+J1044*G1107+E1107</f>
        <v>0</v>
      </c>
      <c r="J1107" s="524">
        <f t="shared" si="98"/>
        <v>0</v>
      </c>
      <c r="K1107" s="512"/>
      <c r="L1107" s="525"/>
      <c r="M1107" s="524">
        <f t="shared" si="99"/>
        <v>0</v>
      </c>
      <c r="N1107" s="525"/>
      <c r="O1107" s="524">
        <f t="shared" si="100"/>
        <v>0</v>
      </c>
      <c r="P1107" s="524">
        <f t="shared" si="101"/>
        <v>0</v>
      </c>
      <c r="Q1107" s="473"/>
    </row>
    <row r="1108" spans="1:17">
      <c r="C1108" s="471" t="s">
        <v>288</v>
      </c>
      <c r="D1108" s="469"/>
      <c r="E1108" s="469">
        <f>SUM(E1048:E1107)</f>
        <v>9582259.5500000026</v>
      </c>
      <c r="F1108" s="469"/>
      <c r="G1108" s="469"/>
      <c r="H1108" s="469">
        <f>SUM(H1048:H1107)</f>
        <v>32809172.895664915</v>
      </c>
      <c r="I1108" s="469">
        <f>SUM(I1048:I1107)</f>
        <v>32809172.895664915</v>
      </c>
      <c r="J1108" s="469">
        <f>SUM(J1048:J1107)</f>
        <v>0</v>
      </c>
      <c r="K1108" s="469"/>
      <c r="L1108" s="469"/>
      <c r="M1108" s="469"/>
      <c r="N1108" s="469"/>
      <c r="O1108" s="469"/>
      <c r="Q1108" s="469"/>
    </row>
    <row r="1109" spans="1:17">
      <c r="D1109" s="78"/>
      <c r="E1109" s="4"/>
      <c r="F1109" s="4"/>
      <c r="G1109" s="4"/>
      <c r="H1109" s="4"/>
      <c r="I1109" s="454"/>
      <c r="J1109" s="454"/>
      <c r="K1109" s="469"/>
      <c r="L1109" s="454"/>
      <c r="M1109" s="454"/>
      <c r="N1109" s="454"/>
      <c r="O1109" s="454"/>
      <c r="Q1109" s="469"/>
    </row>
    <row r="1110" spans="1:17">
      <c r="C1110" s="4" t="s">
        <v>600</v>
      </c>
      <c r="D1110" s="78"/>
      <c r="E1110" s="4"/>
      <c r="F1110" s="4"/>
      <c r="G1110" s="4"/>
      <c r="H1110" s="4"/>
      <c r="I1110" s="454"/>
      <c r="J1110" s="454"/>
      <c r="K1110" s="469"/>
      <c r="L1110" s="454"/>
      <c r="M1110" s="454"/>
      <c r="N1110" s="454"/>
      <c r="O1110" s="454"/>
      <c r="Q1110" s="469"/>
    </row>
    <row r="1111" spans="1:17">
      <c r="D1111" s="78"/>
      <c r="E1111" s="4"/>
      <c r="F1111" s="4"/>
      <c r="G1111" s="4"/>
      <c r="H1111" s="4"/>
      <c r="I1111" s="454"/>
      <c r="J1111" s="454"/>
      <c r="K1111" s="469"/>
      <c r="L1111" s="454"/>
      <c r="M1111" s="454"/>
      <c r="N1111" s="454"/>
      <c r="O1111" s="454"/>
      <c r="Q1111" s="469"/>
    </row>
    <row r="1112" spans="1:17">
      <c r="C1112" s="4" t="s">
        <v>601</v>
      </c>
      <c r="D1112" s="471"/>
      <c r="E1112" s="471"/>
      <c r="F1112" s="471"/>
      <c r="G1112" s="471"/>
      <c r="H1112" s="469"/>
      <c r="I1112" s="469"/>
      <c r="J1112" s="473"/>
      <c r="K1112" s="473"/>
      <c r="L1112" s="473"/>
      <c r="M1112" s="473"/>
      <c r="N1112" s="473"/>
      <c r="O1112" s="473"/>
      <c r="Q1112" s="473"/>
    </row>
    <row r="1113" spans="1:17">
      <c r="C1113" s="4" t="s">
        <v>476</v>
      </c>
      <c r="D1113" s="471"/>
      <c r="E1113" s="471"/>
      <c r="F1113" s="471"/>
      <c r="G1113" s="471"/>
      <c r="H1113" s="469"/>
      <c r="I1113" s="469"/>
      <c r="J1113" s="473"/>
      <c r="K1113" s="473"/>
      <c r="L1113" s="473"/>
      <c r="M1113" s="473"/>
      <c r="N1113" s="473"/>
      <c r="O1113" s="473"/>
      <c r="Q1113" s="473"/>
    </row>
    <row r="1114" spans="1:17">
      <c r="C1114" s="4" t="s">
        <v>289</v>
      </c>
      <c r="D1114" s="471"/>
      <c r="E1114" s="471"/>
      <c r="F1114" s="471"/>
      <c r="G1114" s="471"/>
      <c r="H1114" s="469"/>
      <c r="I1114" s="469"/>
      <c r="J1114" s="473"/>
      <c r="K1114" s="473"/>
      <c r="L1114" s="473"/>
      <c r="M1114" s="473"/>
      <c r="N1114" s="473"/>
      <c r="O1114" s="473"/>
      <c r="Q1114" s="473"/>
    </row>
    <row r="1115" spans="1:17" ht="20.25">
      <c r="A1115" s="413" t="s">
        <v>767</v>
      </c>
      <c r="B1115" s="4"/>
      <c r="C1115" s="4"/>
      <c r="D1115" s="78"/>
      <c r="E1115" s="4"/>
      <c r="F1115" s="80"/>
      <c r="G1115" s="80"/>
      <c r="H1115" s="4"/>
      <c r="I1115" s="454"/>
      <c r="L1115" s="11"/>
      <c r="M1115" s="11"/>
      <c r="N1115" s="11"/>
      <c r="O1115" s="11" t="str">
        <f>"Page "&amp;SUM(Q$3:Q1115)&amp;" of "</f>
        <v xml:space="preserve">Page 14 of </v>
      </c>
      <c r="P1115" s="414">
        <f>COUNT(Q$8:Q$58123)</f>
        <v>16</v>
      </c>
      <c r="Q1115" s="544">
        <v>1</v>
      </c>
    </row>
    <row r="1116" spans="1:17">
      <c r="B1116" s="4"/>
      <c r="C1116" s="4"/>
      <c r="D1116" s="78"/>
      <c r="E1116" s="4"/>
      <c r="F1116" s="4"/>
      <c r="G1116" s="4"/>
      <c r="H1116" s="4"/>
      <c r="I1116" s="454"/>
      <c r="J1116" s="4"/>
      <c r="K1116" s="4"/>
    </row>
    <row r="1117" spans="1:17" ht="18">
      <c r="B1117" s="415" t="s">
        <v>174</v>
      </c>
      <c r="C1117" s="474" t="s">
        <v>290</v>
      </c>
      <c r="D1117" s="78"/>
      <c r="E1117" s="4"/>
      <c r="F1117" s="4"/>
      <c r="G1117" s="4"/>
      <c r="H1117" s="4"/>
      <c r="I1117" s="454"/>
      <c r="J1117" s="454"/>
      <c r="K1117" s="469"/>
      <c r="L1117" s="454"/>
      <c r="M1117" s="454"/>
      <c r="N1117" s="454"/>
      <c r="O1117" s="454"/>
      <c r="Q1117" s="469"/>
    </row>
    <row r="1118" spans="1:17" ht="18.75">
      <c r="B1118" s="415"/>
      <c r="C1118" s="13"/>
      <c r="D1118" s="78"/>
      <c r="E1118" s="4"/>
      <c r="F1118" s="4"/>
      <c r="G1118" s="4"/>
      <c r="H1118" s="4"/>
      <c r="I1118" s="454"/>
      <c r="J1118" s="454"/>
      <c r="K1118" s="469"/>
      <c r="L1118" s="454"/>
      <c r="M1118" s="454"/>
      <c r="N1118" s="454"/>
      <c r="O1118" s="454"/>
      <c r="Q1118" s="469"/>
    </row>
    <row r="1119" spans="1:17" ht="18.75">
      <c r="B1119" s="415"/>
      <c r="C1119" s="13" t="s">
        <v>291</v>
      </c>
      <c r="D1119" s="78"/>
      <c r="E1119" s="4"/>
      <c r="F1119" s="4"/>
      <c r="G1119" s="4"/>
      <c r="H1119" s="4"/>
      <c r="I1119" s="454"/>
      <c r="J1119" s="454"/>
      <c r="K1119" s="469"/>
      <c r="L1119" s="454"/>
      <c r="M1119" s="454"/>
      <c r="N1119" s="454"/>
      <c r="O1119" s="454"/>
      <c r="Q1119" s="469"/>
    </row>
    <row r="1120" spans="1:17" ht="15.75" thickBot="1">
      <c r="C1120" s="250"/>
      <c r="D1120" s="78"/>
      <c r="E1120" s="4"/>
      <c r="F1120" s="4"/>
      <c r="G1120" s="4"/>
      <c r="H1120" s="4"/>
      <c r="I1120" s="454"/>
      <c r="J1120" s="454"/>
      <c r="K1120" s="469"/>
      <c r="L1120" s="454"/>
      <c r="M1120" s="454"/>
      <c r="N1120" s="454"/>
      <c r="O1120" s="454"/>
      <c r="Q1120" s="469"/>
    </row>
    <row r="1121" spans="1:17" ht="15.75">
      <c r="C1121" s="416" t="s">
        <v>292</v>
      </c>
      <c r="D1121" s="78"/>
      <c r="E1121" s="4"/>
      <c r="F1121" s="4"/>
      <c r="G1121" s="4"/>
      <c r="H1121" s="642"/>
      <c r="I1121" s="4" t="s">
        <v>271</v>
      </c>
      <c r="J1121" s="4"/>
      <c r="K1121" s="4"/>
      <c r="L1121" s="545">
        <f>+J1127</f>
        <v>2025</v>
      </c>
      <c r="M1121" s="529" t="s">
        <v>254</v>
      </c>
      <c r="N1121" s="529" t="s">
        <v>255</v>
      </c>
      <c r="O1121" s="530" t="s">
        <v>256</v>
      </c>
    </row>
    <row r="1122" spans="1:17" ht="15.75">
      <c r="C1122" s="416"/>
      <c r="D1122" s="78"/>
      <c r="E1122" s="4"/>
      <c r="F1122" s="4"/>
      <c r="H1122" s="4"/>
      <c r="I1122" s="478"/>
      <c r="J1122" s="478"/>
      <c r="K1122" s="479"/>
      <c r="L1122" s="546" t="s">
        <v>455</v>
      </c>
      <c r="M1122" s="547">
        <f>VLOOKUP(J1127,C1134:P1193,10)</f>
        <v>8114283.4053079346</v>
      </c>
      <c r="N1122" s="547">
        <f>VLOOKUP(J1127,C1134:P1193,12)</f>
        <v>8114283.4053079346</v>
      </c>
      <c r="O1122" s="548">
        <f>+N1122-M1122</f>
        <v>0</v>
      </c>
      <c r="Q1122" s="479"/>
    </row>
    <row r="1123" spans="1:17">
      <c r="C1123" s="481" t="s">
        <v>293</v>
      </c>
      <c r="D1123" s="1304" t="s">
        <v>941</v>
      </c>
      <c r="E1123" s="1304"/>
      <c r="F1123" s="1304"/>
      <c r="G1123" s="1304"/>
      <c r="H1123" s="1304"/>
      <c r="I1123" s="454"/>
      <c r="J1123" s="454"/>
      <c r="K1123" s="469"/>
      <c r="L1123" s="546" t="s">
        <v>456</v>
      </c>
      <c r="M1123" s="549">
        <f>VLOOKUP(J1127,C1134:P1193,6)</f>
        <v>8136439.0749301193</v>
      </c>
      <c r="N1123" s="549">
        <f>VLOOKUP(J1127,C1134:P1193,7)</f>
        <v>8136439.0749301193</v>
      </c>
      <c r="O1123" s="550">
        <f>+N1123-M1123</f>
        <v>0</v>
      </c>
      <c r="Q1123" s="469"/>
    </row>
    <row r="1124" spans="1:17" ht="13.5" thickBot="1">
      <c r="C1124" s="483"/>
      <c r="D1124" s="484"/>
      <c r="E1124" s="471"/>
      <c r="F1124" s="471"/>
      <c r="G1124" s="471"/>
      <c r="H1124" s="485"/>
      <c r="I1124" s="454"/>
      <c r="J1124" s="454"/>
      <c r="K1124" s="469"/>
      <c r="L1124" s="495" t="s">
        <v>457</v>
      </c>
      <c r="M1124" s="551">
        <f>+M1123-M1122</f>
        <v>22155.669622184709</v>
      </c>
      <c r="N1124" s="551">
        <f>+N1123-N1122</f>
        <v>22155.669622184709</v>
      </c>
      <c r="O1124" s="552">
        <f>+O1123-O1122</f>
        <v>0</v>
      </c>
      <c r="Q1124" s="469"/>
    </row>
    <row r="1125" spans="1:17" ht="13.5" thickBot="1">
      <c r="C1125" s="483"/>
      <c r="D1125" s="4"/>
      <c r="E1125" s="485"/>
      <c r="F1125" s="485"/>
      <c r="G1125" s="485"/>
      <c r="H1125" s="485"/>
      <c r="I1125" s="485"/>
      <c r="J1125" s="485"/>
      <c r="K1125" s="485"/>
      <c r="L1125" s="485"/>
      <c r="M1125" s="485"/>
      <c r="N1125" s="485"/>
      <c r="O1125" s="485"/>
      <c r="Q1125" s="485"/>
    </row>
    <row r="1126" spans="1:17" ht="13.5" thickBot="1">
      <c r="C1126" s="487" t="s">
        <v>294</v>
      </c>
      <c r="D1126" s="488"/>
      <c r="E1126" s="488"/>
      <c r="F1126" s="488"/>
      <c r="G1126" s="488"/>
      <c r="H1126" s="488"/>
      <c r="I1126" s="488"/>
      <c r="J1126" s="488"/>
      <c r="Q1126"/>
    </row>
    <row r="1127" spans="1:17" ht="15">
      <c r="A1127" s="486"/>
      <c r="C1127" s="490" t="s">
        <v>272</v>
      </c>
      <c r="D1127" s="941">
        <v>69840538.590000004</v>
      </c>
      <c r="E1127" s="4" t="s">
        <v>273</v>
      </c>
      <c r="H1127" s="78"/>
      <c r="I1127" s="78"/>
      <c r="J1127" s="491">
        <f>$J$95</f>
        <v>2025</v>
      </c>
      <c r="K1127" s="134"/>
      <c r="L1127" s="1305" t="s">
        <v>274</v>
      </c>
      <c r="M1127" s="1305"/>
      <c r="N1127" s="1305"/>
      <c r="O1127" s="1305"/>
      <c r="Q1127" s="134"/>
    </row>
    <row r="1128" spans="1:17">
      <c r="A1128" s="486"/>
      <c r="C1128" s="490" t="s">
        <v>275</v>
      </c>
      <c r="D1128" s="644">
        <v>2018</v>
      </c>
      <c r="E1128" s="490" t="s">
        <v>276</v>
      </c>
      <c r="F1128" s="78"/>
      <c r="G1128" s="78"/>
      <c r="I1128"/>
      <c r="J1128" s="647">
        <v>0</v>
      </c>
      <c r="K1128" s="492"/>
      <c r="L1128" s="469" t="s">
        <v>475</v>
      </c>
      <c r="Q1128" s="492"/>
    </row>
    <row r="1129" spans="1:17">
      <c r="A1129" s="486"/>
      <c r="C1129" s="490" t="s">
        <v>277</v>
      </c>
      <c r="D1129" s="942">
        <v>10</v>
      </c>
      <c r="E1129" s="490" t="s">
        <v>278</v>
      </c>
      <c r="F1129" s="78"/>
      <c r="G1129" s="78"/>
      <c r="I1129"/>
      <c r="J1129" s="493">
        <f>$F$70</f>
        <v>0.11017952320434825</v>
      </c>
      <c r="K1129" s="80"/>
      <c r="L1129" s="4" t="str">
        <f>"          INPUT TRUE-UP ARR (WITH &amp; WITHOUT INCENTIVES) FROM EACH PRIOR YEAR"</f>
        <v xml:space="preserve">          INPUT TRUE-UP ARR (WITH &amp; WITHOUT INCENTIVES) FROM EACH PRIOR YEAR</v>
      </c>
      <c r="Q1129" s="80"/>
    </row>
    <row r="1130" spans="1:17">
      <c r="A1130" s="486"/>
      <c r="C1130" s="490" t="s">
        <v>279</v>
      </c>
      <c r="D1130" s="494">
        <f>H79</f>
        <v>42</v>
      </c>
      <c r="E1130" s="490" t="s">
        <v>280</v>
      </c>
      <c r="F1130" s="78"/>
      <c r="G1130" s="78"/>
      <c r="I1130"/>
      <c r="J1130" s="493">
        <f>IF(H1121="",J1129,$F$69)</f>
        <v>0.11017952320434825</v>
      </c>
      <c r="K1130" s="80"/>
      <c r="L1130" s="4" t="s">
        <v>362</v>
      </c>
      <c r="M1130" s="80"/>
      <c r="N1130" s="80"/>
      <c r="O1130" s="80"/>
      <c r="Q1130" s="80"/>
    </row>
    <row r="1131" spans="1:17" ht="13.5" thickBot="1">
      <c r="A1131" s="486"/>
      <c r="C1131" s="490" t="s">
        <v>281</v>
      </c>
      <c r="D1131" s="646" t="s">
        <v>929</v>
      </c>
      <c r="E1131" s="495" t="s">
        <v>282</v>
      </c>
      <c r="F1131" s="496"/>
      <c r="G1131" s="496"/>
      <c r="H1131" s="497"/>
      <c r="I1131" s="497"/>
      <c r="J1131" s="482">
        <f>IF(D1127=0,0,D1127/D1130)</f>
        <v>1662869.9664285716</v>
      </c>
      <c r="K1131" s="469"/>
      <c r="L1131" s="469" t="s">
        <v>363</v>
      </c>
      <c r="M1131" s="469"/>
      <c r="N1131" s="469"/>
      <c r="O1131" s="469"/>
      <c r="Q1131" s="469"/>
    </row>
    <row r="1132" spans="1:17" ht="38.25">
      <c r="A1132" s="12"/>
      <c r="B1132" s="12"/>
      <c r="C1132" s="498" t="s">
        <v>272</v>
      </c>
      <c r="D1132" s="499" t="s">
        <v>283</v>
      </c>
      <c r="E1132" s="500" t="s">
        <v>284</v>
      </c>
      <c r="F1132" s="499" t="s">
        <v>285</v>
      </c>
      <c r="G1132" s="499" t="s">
        <v>458</v>
      </c>
      <c r="H1132" s="500" t="s">
        <v>356</v>
      </c>
      <c r="I1132" s="501" t="s">
        <v>356</v>
      </c>
      <c r="J1132" s="498" t="s">
        <v>295</v>
      </c>
      <c r="K1132" s="502"/>
      <c r="L1132" s="500" t="s">
        <v>358</v>
      </c>
      <c r="M1132" s="500" t="s">
        <v>364</v>
      </c>
      <c r="N1132" s="500" t="s">
        <v>358</v>
      </c>
      <c r="O1132" s="500" t="s">
        <v>366</v>
      </c>
      <c r="P1132" s="500" t="s">
        <v>286</v>
      </c>
      <c r="Q1132" s="127"/>
    </row>
    <row r="1133" spans="1:17" ht="13.5" thickBot="1">
      <c r="C1133" s="503" t="s">
        <v>177</v>
      </c>
      <c r="D1133" s="504" t="s">
        <v>178</v>
      </c>
      <c r="E1133" s="503" t="s">
        <v>37</v>
      </c>
      <c r="F1133" s="504" t="s">
        <v>178</v>
      </c>
      <c r="G1133" s="504" t="s">
        <v>178</v>
      </c>
      <c r="H1133" s="505" t="s">
        <v>298</v>
      </c>
      <c r="I1133" s="506" t="s">
        <v>300</v>
      </c>
      <c r="J1133" s="503" t="s">
        <v>389</v>
      </c>
      <c r="K1133" s="507"/>
      <c r="L1133" s="505" t="s">
        <v>287</v>
      </c>
      <c r="M1133" s="505" t="s">
        <v>287</v>
      </c>
      <c r="N1133" s="505" t="s">
        <v>467</v>
      </c>
      <c r="O1133" s="505" t="s">
        <v>467</v>
      </c>
      <c r="P1133" s="505" t="s">
        <v>467</v>
      </c>
      <c r="Q1133" s="134"/>
    </row>
    <row r="1134" spans="1:17">
      <c r="C1134" s="508">
        <f>IF(D1128= "","-",D1128)</f>
        <v>2018</v>
      </c>
      <c r="D1134" s="471">
        <f>+D1127</f>
        <v>69840538.590000004</v>
      </c>
      <c r="E1134" s="509">
        <f>+J1131/12*(12-D1129)</f>
        <v>277144.99440476194</v>
      </c>
      <c r="F1134" s="553">
        <f t="shared" ref="F1134:F1193" si="104">+D1134-E1134</f>
        <v>69563393.595595241</v>
      </c>
      <c r="G1134" s="471">
        <f t="shared" ref="G1134:G1193" si="105">+(D1134+F1134)/2</f>
        <v>69701966.092797622</v>
      </c>
      <c r="H1134" s="510">
        <f>+J1129*G1134+E1134</f>
        <v>7956874.3849148527</v>
      </c>
      <c r="I1134" s="511">
        <f>+J1130*G1134+E1134</f>
        <v>7956874.3849148527</v>
      </c>
      <c r="J1134" s="512">
        <f t="shared" ref="J1134:J1193" si="106">+I1134-H1134</f>
        <v>0</v>
      </c>
      <c r="K1134" s="512"/>
      <c r="L1134" s="513">
        <v>8045448</v>
      </c>
      <c r="M1134" s="554">
        <f t="shared" ref="M1134:M1193" si="107">IF(L1134&lt;&gt;0,+H1134-L1134,0)</f>
        <v>-88573.615085147321</v>
      </c>
      <c r="N1134" s="513">
        <v>8045448</v>
      </c>
      <c r="O1134" s="554">
        <f t="shared" ref="O1134:O1193" si="108">IF(N1134&lt;&gt;0,+I1134-N1134,0)</f>
        <v>-88573.615085147321</v>
      </c>
      <c r="P1134" s="554">
        <f t="shared" ref="P1134:P1193" si="109">+O1134-M1134</f>
        <v>0</v>
      </c>
      <c r="Q1134" s="473"/>
    </row>
    <row r="1135" spans="1:17">
      <c r="C1135" s="508">
        <f>IF(D1128="","-",+C1134+1)</f>
        <v>2019</v>
      </c>
      <c r="D1135" s="955">
        <f t="shared" ref="D1135:D1193" si="110">F1134</f>
        <v>69563393.595595241</v>
      </c>
      <c r="E1135" s="515">
        <f>IF(D1135&gt;$J$1131,$J$1131,D1135)</f>
        <v>1662869.9664285716</v>
      </c>
      <c r="F1135" s="515">
        <f t="shared" si="104"/>
        <v>67900523.629166663</v>
      </c>
      <c r="G1135" s="471">
        <f t="shared" si="105"/>
        <v>68731958.612380952</v>
      </c>
      <c r="H1135" s="509">
        <f>+J1129*G1135+E1135</f>
        <v>9235724.395241702</v>
      </c>
      <c r="I1135" s="516">
        <f>+J1130*G1135+E1135</f>
        <v>9235724.395241702</v>
      </c>
      <c r="J1135" s="512">
        <f t="shared" si="106"/>
        <v>0</v>
      </c>
      <c r="K1135" s="512"/>
      <c r="L1135" s="517">
        <v>8376163</v>
      </c>
      <c r="M1135" s="512">
        <f t="shared" si="107"/>
        <v>859561.39524170198</v>
      </c>
      <c r="N1135" s="517">
        <v>8376163</v>
      </c>
      <c r="O1135" s="512">
        <f t="shared" si="108"/>
        <v>859561.39524170198</v>
      </c>
      <c r="P1135" s="512">
        <f t="shared" si="109"/>
        <v>0</v>
      </c>
      <c r="Q1135" s="473"/>
    </row>
    <row r="1136" spans="1:17">
      <c r="C1136" s="508">
        <f>IF(D1128="","-",+C1135+1)</f>
        <v>2020</v>
      </c>
      <c r="D1136" s="955">
        <f t="shared" si="110"/>
        <v>67900523.629166663</v>
      </c>
      <c r="E1136" s="515">
        <f t="shared" ref="E1136:E1193" si="111">IF(D1136&gt;$J$1131,$J$1131,D1136)</f>
        <v>1662869.9664285716</v>
      </c>
      <c r="F1136" s="515">
        <f t="shared" si="104"/>
        <v>66237653.662738092</v>
      </c>
      <c r="G1136" s="471">
        <f t="shared" si="105"/>
        <v>67069088.645952374</v>
      </c>
      <c r="H1136" s="509">
        <f>+J1129*G1136+E1136</f>
        <v>9052510.1751897708</v>
      </c>
      <c r="I1136" s="516">
        <f>+J1130*G1136+E1136</f>
        <v>9052510.1751897708</v>
      </c>
      <c r="J1136" s="512">
        <f t="shared" si="106"/>
        <v>0</v>
      </c>
      <c r="K1136" s="512"/>
      <c r="L1136" s="517">
        <v>4444448.7830443121</v>
      </c>
      <c r="M1136" s="512">
        <f t="shared" si="107"/>
        <v>4608061.3921454586</v>
      </c>
      <c r="N1136" s="517">
        <v>4444448.7830443121</v>
      </c>
      <c r="O1136" s="512">
        <f t="shared" si="108"/>
        <v>4608061.3921454586</v>
      </c>
      <c r="P1136" s="512">
        <f t="shared" si="109"/>
        <v>0</v>
      </c>
      <c r="Q1136" s="473"/>
    </row>
    <row r="1137" spans="3:17">
      <c r="C1137" s="508">
        <f>IF(D1128="","-",+C1136+1)</f>
        <v>2021</v>
      </c>
      <c r="D1137" s="955">
        <f t="shared" si="110"/>
        <v>66237653.662738092</v>
      </c>
      <c r="E1137" s="515">
        <f t="shared" si="111"/>
        <v>1662869.9664285716</v>
      </c>
      <c r="F1137" s="515">
        <f t="shared" si="104"/>
        <v>64574783.696309522</v>
      </c>
      <c r="G1137" s="471">
        <f t="shared" si="105"/>
        <v>65406218.679523811</v>
      </c>
      <c r="H1137" s="509">
        <f>+J1129*G1137+E1137</f>
        <v>8869295.9551378414</v>
      </c>
      <c r="I1137" s="516">
        <f>+J1130*G1137+E1137</f>
        <v>8869295.9551378414</v>
      </c>
      <c r="J1137" s="512">
        <f t="shared" si="106"/>
        <v>0</v>
      </c>
      <c r="K1137" s="512"/>
      <c r="L1137" s="517">
        <v>8170471.5991193904</v>
      </c>
      <c r="M1137" s="512">
        <f t="shared" si="107"/>
        <v>698824.35601845104</v>
      </c>
      <c r="N1137" s="517">
        <v>8170471.5991193904</v>
      </c>
      <c r="O1137" s="512">
        <f t="shared" si="108"/>
        <v>698824.35601845104</v>
      </c>
      <c r="P1137" s="512">
        <f t="shared" si="109"/>
        <v>0</v>
      </c>
      <c r="Q1137" s="473"/>
    </row>
    <row r="1138" spans="3:17">
      <c r="C1138" s="508">
        <f>IF(D1128="","-",+C1137+1)</f>
        <v>2022</v>
      </c>
      <c r="D1138" s="955">
        <f t="shared" si="110"/>
        <v>64574783.696309522</v>
      </c>
      <c r="E1138" s="515">
        <f t="shared" si="111"/>
        <v>1662869.9664285716</v>
      </c>
      <c r="F1138" s="515">
        <f t="shared" si="104"/>
        <v>62911913.729880951</v>
      </c>
      <c r="G1138" s="471">
        <f t="shared" si="105"/>
        <v>63743348.713095233</v>
      </c>
      <c r="H1138" s="509">
        <f>+J1129*G1138+E1138</f>
        <v>8686081.7350859102</v>
      </c>
      <c r="I1138" s="516">
        <f>+J1130*G1138+E1138</f>
        <v>8686081.7350859102</v>
      </c>
      <c r="J1138" s="512">
        <f t="shared" si="106"/>
        <v>0</v>
      </c>
      <c r="K1138" s="512"/>
      <c r="L1138" s="517">
        <v>8092331.2716201618</v>
      </c>
      <c r="M1138" s="512">
        <f t="shared" si="107"/>
        <v>593750.46346574835</v>
      </c>
      <c r="N1138" s="517">
        <v>8092331.2716201618</v>
      </c>
      <c r="O1138" s="512">
        <f t="shared" si="108"/>
        <v>593750.46346574835</v>
      </c>
      <c r="P1138" s="512">
        <f t="shared" si="109"/>
        <v>0</v>
      </c>
      <c r="Q1138" s="473"/>
    </row>
    <row r="1139" spans="3:17">
      <c r="C1139" s="508">
        <f>IF(D1128="","-",+C1138+1)</f>
        <v>2023</v>
      </c>
      <c r="D1139" s="471">
        <f t="shared" si="110"/>
        <v>62911913.729880951</v>
      </c>
      <c r="E1139" s="515">
        <f t="shared" si="111"/>
        <v>1662869.9664285716</v>
      </c>
      <c r="F1139" s="515">
        <f t="shared" si="104"/>
        <v>61249043.763452381</v>
      </c>
      <c r="G1139" s="471">
        <f t="shared" si="105"/>
        <v>62080478.74666667</v>
      </c>
      <c r="H1139" s="509">
        <f>+J1129*G1139+E1139</f>
        <v>8502867.5150339808</v>
      </c>
      <c r="I1139" s="516">
        <f>+J1130*G1139+E1139</f>
        <v>8502867.5150339808</v>
      </c>
      <c r="J1139" s="512">
        <f t="shared" si="106"/>
        <v>0</v>
      </c>
      <c r="K1139" s="512"/>
      <c r="L1139" s="517">
        <v>8418535.7912043519</v>
      </c>
      <c r="M1139" s="512">
        <f t="shared" si="107"/>
        <v>84331.7238296289</v>
      </c>
      <c r="N1139" s="517">
        <v>8418535.7912043519</v>
      </c>
      <c r="O1139" s="512">
        <f t="shared" si="108"/>
        <v>84331.7238296289</v>
      </c>
      <c r="P1139" s="512">
        <f t="shared" si="109"/>
        <v>0</v>
      </c>
      <c r="Q1139" s="473"/>
    </row>
    <row r="1140" spans="3:17">
      <c r="C1140" s="508">
        <f>IF(D1128="","-",+C1139+1)</f>
        <v>2024</v>
      </c>
      <c r="D1140" s="471">
        <f t="shared" si="110"/>
        <v>61249043.763452381</v>
      </c>
      <c r="E1140" s="515">
        <f t="shared" si="111"/>
        <v>1662869.9664285716</v>
      </c>
      <c r="F1140" s="515">
        <f t="shared" si="104"/>
        <v>59586173.79702381</v>
      </c>
      <c r="G1140" s="471">
        <f t="shared" si="105"/>
        <v>60417608.780238092</v>
      </c>
      <c r="H1140" s="509">
        <f>+J1129*G1140+E1140</f>
        <v>8319653.2949820487</v>
      </c>
      <c r="I1140" s="516">
        <f>+J1130*G1140+E1140</f>
        <v>8319653.2949820487</v>
      </c>
      <c r="J1140" s="512">
        <f t="shared" si="106"/>
        <v>0</v>
      </c>
      <c r="K1140" s="512"/>
      <c r="L1140" s="517">
        <v>8259550.7369593196</v>
      </c>
      <c r="M1140" s="512">
        <f t="shared" si="107"/>
        <v>60102.558022729121</v>
      </c>
      <c r="N1140" s="517">
        <v>8259550.7369593196</v>
      </c>
      <c r="O1140" s="512">
        <f t="shared" si="108"/>
        <v>60102.558022729121</v>
      </c>
      <c r="P1140" s="512">
        <f t="shared" si="109"/>
        <v>0</v>
      </c>
      <c r="Q1140" s="473"/>
    </row>
    <row r="1141" spans="3:17">
      <c r="C1141" s="508">
        <f>IF(D1128="","-",+C1140+1)</f>
        <v>2025</v>
      </c>
      <c r="D1141" s="471">
        <f t="shared" si="110"/>
        <v>59586173.79702381</v>
      </c>
      <c r="E1141" s="515">
        <f t="shared" si="111"/>
        <v>1662869.9664285716</v>
      </c>
      <c r="F1141" s="515">
        <f t="shared" si="104"/>
        <v>57923303.83059524</v>
      </c>
      <c r="G1141" s="471">
        <f t="shared" si="105"/>
        <v>58754738.813809529</v>
      </c>
      <c r="H1141" s="509">
        <f>+J1129*G1141+E1141</f>
        <v>8136439.0749301193</v>
      </c>
      <c r="I1141" s="516">
        <f>+J1130*G1141+E1141</f>
        <v>8136439.0749301193</v>
      </c>
      <c r="J1141" s="512">
        <f t="shared" si="106"/>
        <v>0</v>
      </c>
      <c r="K1141" s="512"/>
      <c r="L1141" s="517">
        <v>8114283.4053079346</v>
      </c>
      <c r="M1141" s="512">
        <f t="shared" si="107"/>
        <v>22155.669622184709</v>
      </c>
      <c r="N1141" s="517">
        <v>8114283.4053079346</v>
      </c>
      <c r="O1141" s="512">
        <f t="shared" si="108"/>
        <v>22155.669622184709</v>
      </c>
      <c r="P1141" s="512">
        <f t="shared" si="109"/>
        <v>0</v>
      </c>
      <c r="Q1141" s="473"/>
    </row>
    <row r="1142" spans="3:17">
      <c r="C1142" s="508">
        <f>IF(D1128="","-",+C1141+1)</f>
        <v>2026</v>
      </c>
      <c r="D1142" s="471">
        <f t="shared" si="110"/>
        <v>57923303.83059524</v>
      </c>
      <c r="E1142" s="515">
        <f t="shared" si="111"/>
        <v>1662869.9664285716</v>
      </c>
      <c r="F1142" s="515">
        <f t="shared" si="104"/>
        <v>56260433.86416667</v>
      </c>
      <c r="G1142" s="471">
        <f t="shared" si="105"/>
        <v>57091868.847380951</v>
      </c>
      <c r="H1142" s="509">
        <f>+J1129*G1142+E1142</f>
        <v>7953224.8548781881</v>
      </c>
      <c r="I1142" s="516">
        <f>+J1130*G1142+E1142</f>
        <v>7953224.8548781881</v>
      </c>
      <c r="J1142" s="512">
        <f t="shared" si="106"/>
        <v>0</v>
      </c>
      <c r="K1142" s="512"/>
      <c r="L1142" s="517">
        <v>0</v>
      </c>
      <c r="M1142" s="512">
        <f t="shared" si="107"/>
        <v>0</v>
      </c>
      <c r="N1142" s="517">
        <v>0</v>
      </c>
      <c r="O1142" s="512">
        <f t="shared" si="108"/>
        <v>0</v>
      </c>
      <c r="P1142" s="512">
        <f t="shared" si="109"/>
        <v>0</v>
      </c>
      <c r="Q1142" s="473"/>
    </row>
    <row r="1143" spans="3:17">
      <c r="C1143" s="508">
        <f>IF(D1128="","-",+C1142+1)</f>
        <v>2027</v>
      </c>
      <c r="D1143" s="471">
        <f t="shared" si="110"/>
        <v>56260433.86416667</v>
      </c>
      <c r="E1143" s="515">
        <f t="shared" si="111"/>
        <v>1662869.9664285716</v>
      </c>
      <c r="F1143" s="515">
        <f t="shared" si="104"/>
        <v>54597563.897738099</v>
      </c>
      <c r="G1143" s="471">
        <f t="shared" si="105"/>
        <v>55428998.880952388</v>
      </c>
      <c r="H1143" s="509">
        <f>+J1129*G1143+E1143</f>
        <v>7770010.6348262578</v>
      </c>
      <c r="I1143" s="516">
        <f>+J1130*G1143+E1143</f>
        <v>7770010.6348262578</v>
      </c>
      <c r="J1143" s="512">
        <f t="shared" si="106"/>
        <v>0</v>
      </c>
      <c r="K1143" s="512"/>
      <c r="L1143" s="517">
        <v>0</v>
      </c>
      <c r="M1143" s="512">
        <f t="shared" si="107"/>
        <v>0</v>
      </c>
      <c r="N1143" s="517">
        <v>0</v>
      </c>
      <c r="O1143" s="512">
        <f t="shared" si="108"/>
        <v>0</v>
      </c>
      <c r="P1143" s="512">
        <f t="shared" si="109"/>
        <v>0</v>
      </c>
      <c r="Q1143" s="473"/>
    </row>
    <row r="1144" spans="3:17">
      <c r="C1144" s="508">
        <f>IF(D1128="","-",+C1143+1)</f>
        <v>2028</v>
      </c>
      <c r="D1144" s="471">
        <f t="shared" si="110"/>
        <v>54597563.897738099</v>
      </c>
      <c r="E1144" s="515">
        <f t="shared" si="111"/>
        <v>1662869.9664285716</v>
      </c>
      <c r="F1144" s="515">
        <f t="shared" si="104"/>
        <v>52934693.931309529</v>
      </c>
      <c r="G1144" s="471">
        <f t="shared" si="105"/>
        <v>53766128.91452381</v>
      </c>
      <c r="H1144" s="509">
        <f>+J1129*G1144+E1144</f>
        <v>7586796.4147743266</v>
      </c>
      <c r="I1144" s="516">
        <f>+J1130*G1144+E1144</f>
        <v>7586796.4147743266</v>
      </c>
      <c r="J1144" s="512">
        <f t="shared" si="106"/>
        <v>0</v>
      </c>
      <c r="K1144" s="512"/>
      <c r="L1144" s="517">
        <v>0</v>
      </c>
      <c r="M1144" s="512">
        <f t="shared" si="107"/>
        <v>0</v>
      </c>
      <c r="N1144" s="517">
        <v>0</v>
      </c>
      <c r="O1144" s="512">
        <f t="shared" si="108"/>
        <v>0</v>
      </c>
      <c r="P1144" s="512">
        <f t="shared" si="109"/>
        <v>0</v>
      </c>
      <c r="Q1144" s="473"/>
    </row>
    <row r="1145" spans="3:17">
      <c r="C1145" s="508">
        <f>IF(D1128="","-",+C1144+1)</f>
        <v>2029</v>
      </c>
      <c r="D1145" s="471">
        <f t="shared" si="110"/>
        <v>52934693.931309529</v>
      </c>
      <c r="E1145" s="515">
        <f t="shared" si="111"/>
        <v>1662869.9664285716</v>
      </c>
      <c r="F1145" s="515">
        <f t="shared" si="104"/>
        <v>51271823.964880958</v>
      </c>
      <c r="G1145" s="471">
        <f t="shared" si="105"/>
        <v>52103258.948095247</v>
      </c>
      <c r="H1145" s="509">
        <f>+J1129*G1145+E1145</f>
        <v>7403582.1947223973</v>
      </c>
      <c r="I1145" s="516">
        <f>+J1130*G1145+E1145</f>
        <v>7403582.1947223973</v>
      </c>
      <c r="J1145" s="512">
        <f t="shared" si="106"/>
        <v>0</v>
      </c>
      <c r="K1145" s="512"/>
      <c r="L1145" s="517"/>
      <c r="M1145" s="512">
        <f t="shared" si="107"/>
        <v>0</v>
      </c>
      <c r="N1145" s="517"/>
      <c r="O1145" s="512">
        <f t="shared" si="108"/>
        <v>0</v>
      </c>
      <c r="P1145" s="512">
        <f t="shared" si="109"/>
        <v>0</v>
      </c>
      <c r="Q1145" s="473"/>
    </row>
    <row r="1146" spans="3:17">
      <c r="C1146" s="508">
        <f>IF(D1128="","-",+C1145+1)</f>
        <v>2030</v>
      </c>
      <c r="D1146" s="471">
        <f t="shared" si="110"/>
        <v>51271823.964880958</v>
      </c>
      <c r="E1146" s="515">
        <f t="shared" si="111"/>
        <v>1662869.9664285716</v>
      </c>
      <c r="F1146" s="515">
        <f t="shared" si="104"/>
        <v>49608953.998452388</v>
      </c>
      <c r="G1146" s="471">
        <f t="shared" si="105"/>
        <v>50440388.981666669</v>
      </c>
      <c r="H1146" s="509">
        <f>+J1129*G1146+E1146</f>
        <v>7220367.974670466</v>
      </c>
      <c r="I1146" s="516">
        <f>+J1130*G1146+E1146</f>
        <v>7220367.974670466</v>
      </c>
      <c r="J1146" s="512">
        <f t="shared" si="106"/>
        <v>0</v>
      </c>
      <c r="K1146" s="512"/>
      <c r="L1146" s="517"/>
      <c r="M1146" s="512">
        <f t="shared" si="107"/>
        <v>0</v>
      </c>
      <c r="N1146" s="517"/>
      <c r="O1146" s="512">
        <f t="shared" si="108"/>
        <v>0</v>
      </c>
      <c r="P1146" s="512">
        <f t="shared" si="109"/>
        <v>0</v>
      </c>
      <c r="Q1146" s="473"/>
    </row>
    <row r="1147" spans="3:17">
      <c r="C1147" s="508">
        <f>IF(D1128="","-",+C1146+1)</f>
        <v>2031</v>
      </c>
      <c r="D1147" s="471">
        <f t="shared" si="110"/>
        <v>49608953.998452388</v>
      </c>
      <c r="E1147" s="515">
        <f t="shared" si="111"/>
        <v>1662869.9664285716</v>
      </c>
      <c r="F1147" s="515">
        <f t="shared" si="104"/>
        <v>47946084.032023817</v>
      </c>
      <c r="G1147" s="471">
        <f t="shared" si="105"/>
        <v>48777519.015238106</v>
      </c>
      <c r="H1147" s="509">
        <f>+J1129*G1147+E1147</f>
        <v>7037153.7546185367</v>
      </c>
      <c r="I1147" s="516">
        <f>+J1130*G1147+E1147</f>
        <v>7037153.7546185367</v>
      </c>
      <c r="J1147" s="512">
        <f t="shared" si="106"/>
        <v>0</v>
      </c>
      <c r="K1147" s="512"/>
      <c r="L1147" s="517"/>
      <c r="M1147" s="512">
        <f t="shared" si="107"/>
        <v>0</v>
      </c>
      <c r="N1147" s="517"/>
      <c r="O1147" s="512">
        <f t="shared" si="108"/>
        <v>0</v>
      </c>
      <c r="P1147" s="512">
        <f t="shared" si="109"/>
        <v>0</v>
      </c>
      <c r="Q1147" s="473"/>
    </row>
    <row r="1148" spans="3:17">
      <c r="C1148" s="508">
        <f>IF(D1128="","-",+C1147+1)</f>
        <v>2032</v>
      </c>
      <c r="D1148" s="471">
        <f t="shared" si="110"/>
        <v>47946084.032023817</v>
      </c>
      <c r="E1148" s="515">
        <f t="shared" si="111"/>
        <v>1662869.9664285716</v>
      </c>
      <c r="F1148" s="515">
        <f t="shared" si="104"/>
        <v>46283214.065595247</v>
      </c>
      <c r="G1148" s="471">
        <f t="shared" si="105"/>
        <v>47114649.048809528</v>
      </c>
      <c r="H1148" s="509">
        <f>+J1129*G1148+E1148</f>
        <v>6853939.5345666045</v>
      </c>
      <c r="I1148" s="516">
        <f>+J1130*G1148+E1148</f>
        <v>6853939.5345666045</v>
      </c>
      <c r="J1148" s="512">
        <f t="shared" si="106"/>
        <v>0</v>
      </c>
      <c r="K1148" s="512"/>
      <c r="L1148" s="517"/>
      <c r="M1148" s="512">
        <f t="shared" si="107"/>
        <v>0</v>
      </c>
      <c r="N1148" s="517"/>
      <c r="O1148" s="512">
        <f t="shared" si="108"/>
        <v>0</v>
      </c>
      <c r="P1148" s="512">
        <f t="shared" si="109"/>
        <v>0</v>
      </c>
      <c r="Q1148" s="473"/>
    </row>
    <row r="1149" spans="3:17">
      <c r="C1149" s="508">
        <f>IF(D1128="","-",+C1148+1)</f>
        <v>2033</v>
      </c>
      <c r="D1149" s="471">
        <f t="shared" si="110"/>
        <v>46283214.065595247</v>
      </c>
      <c r="E1149" s="515">
        <f t="shared" si="111"/>
        <v>1662869.9664285716</v>
      </c>
      <c r="F1149" s="515">
        <f t="shared" si="104"/>
        <v>44620344.099166676</v>
      </c>
      <c r="G1149" s="471">
        <f t="shared" si="105"/>
        <v>45451779.082380965</v>
      </c>
      <c r="H1149" s="509">
        <f>+J1129*G1149+E1149</f>
        <v>6670725.3145146752</v>
      </c>
      <c r="I1149" s="516">
        <f>+J1130*G1149+E1149</f>
        <v>6670725.3145146752</v>
      </c>
      <c r="J1149" s="512">
        <f t="shared" si="106"/>
        <v>0</v>
      </c>
      <c r="K1149" s="512"/>
      <c r="L1149" s="517"/>
      <c r="M1149" s="512">
        <f t="shared" si="107"/>
        <v>0</v>
      </c>
      <c r="N1149" s="517"/>
      <c r="O1149" s="512">
        <f t="shared" si="108"/>
        <v>0</v>
      </c>
      <c r="P1149" s="512">
        <f t="shared" si="109"/>
        <v>0</v>
      </c>
      <c r="Q1149" s="473"/>
    </row>
    <row r="1150" spans="3:17">
      <c r="C1150" s="508">
        <f>IF(D1128="","-",+C1149+1)</f>
        <v>2034</v>
      </c>
      <c r="D1150" s="471">
        <f t="shared" si="110"/>
        <v>44620344.099166676</v>
      </c>
      <c r="E1150" s="515">
        <f t="shared" si="111"/>
        <v>1662869.9664285716</v>
      </c>
      <c r="F1150" s="515">
        <f t="shared" si="104"/>
        <v>42957474.132738106</v>
      </c>
      <c r="G1150" s="471">
        <f t="shared" si="105"/>
        <v>43788909.115952387</v>
      </c>
      <c r="H1150" s="509">
        <f>+J1129*G1150+E1150</f>
        <v>6487511.094462744</v>
      </c>
      <c r="I1150" s="516">
        <f>+J1130*G1150+E1150</f>
        <v>6487511.094462744</v>
      </c>
      <c r="J1150" s="512">
        <f t="shared" si="106"/>
        <v>0</v>
      </c>
      <c r="K1150" s="512"/>
      <c r="L1150" s="517"/>
      <c r="M1150" s="512">
        <f t="shared" si="107"/>
        <v>0</v>
      </c>
      <c r="N1150" s="517"/>
      <c r="O1150" s="512">
        <f t="shared" si="108"/>
        <v>0</v>
      </c>
      <c r="P1150" s="512">
        <f t="shared" si="109"/>
        <v>0</v>
      </c>
      <c r="Q1150" s="473"/>
    </row>
    <row r="1151" spans="3:17">
      <c r="C1151" s="508">
        <f>IF(D1128="","-",+C1150+1)</f>
        <v>2035</v>
      </c>
      <c r="D1151" s="471">
        <f t="shared" si="110"/>
        <v>42957474.132738106</v>
      </c>
      <c r="E1151" s="515">
        <f t="shared" si="111"/>
        <v>1662869.9664285716</v>
      </c>
      <c r="F1151" s="515">
        <f t="shared" si="104"/>
        <v>41294604.166309536</v>
      </c>
      <c r="G1151" s="471">
        <f t="shared" si="105"/>
        <v>42126039.149523824</v>
      </c>
      <c r="H1151" s="509">
        <f>+J1129*G1151+E1151</f>
        <v>6304296.8744108146</v>
      </c>
      <c r="I1151" s="516">
        <f>+J1130*G1151+E1151</f>
        <v>6304296.8744108146</v>
      </c>
      <c r="J1151" s="512">
        <f t="shared" si="106"/>
        <v>0</v>
      </c>
      <c r="K1151" s="512"/>
      <c r="L1151" s="517"/>
      <c r="M1151" s="512">
        <f t="shared" si="107"/>
        <v>0</v>
      </c>
      <c r="N1151" s="517"/>
      <c r="O1151" s="512">
        <f t="shared" si="108"/>
        <v>0</v>
      </c>
      <c r="P1151" s="512">
        <f t="shared" si="109"/>
        <v>0</v>
      </c>
      <c r="Q1151" s="473"/>
    </row>
    <row r="1152" spans="3:17">
      <c r="C1152" s="508">
        <f>IF(D1128="","-",+C1151+1)</f>
        <v>2036</v>
      </c>
      <c r="D1152" s="471">
        <f t="shared" si="110"/>
        <v>41294604.166309536</v>
      </c>
      <c r="E1152" s="515">
        <f t="shared" si="111"/>
        <v>1662869.9664285716</v>
      </c>
      <c r="F1152" s="515">
        <f t="shared" si="104"/>
        <v>39631734.199880965</v>
      </c>
      <c r="G1152" s="471">
        <f t="shared" si="105"/>
        <v>40463169.183095247</v>
      </c>
      <c r="H1152" s="509">
        <f>+J1129*G1152+E1152</f>
        <v>6121082.6543588834</v>
      </c>
      <c r="I1152" s="516">
        <f>+J1130*G1152+E1152</f>
        <v>6121082.6543588834</v>
      </c>
      <c r="J1152" s="512">
        <f t="shared" si="106"/>
        <v>0</v>
      </c>
      <c r="K1152" s="512"/>
      <c r="L1152" s="517"/>
      <c r="M1152" s="512">
        <f t="shared" si="107"/>
        <v>0</v>
      </c>
      <c r="N1152" s="517"/>
      <c r="O1152" s="512">
        <f t="shared" si="108"/>
        <v>0</v>
      </c>
      <c r="P1152" s="512">
        <f t="shared" si="109"/>
        <v>0</v>
      </c>
      <c r="Q1152" s="473"/>
    </row>
    <row r="1153" spans="3:17">
      <c r="C1153" s="508">
        <f>IF(D1128="","-",+C1152+1)</f>
        <v>2037</v>
      </c>
      <c r="D1153" s="471">
        <f t="shared" si="110"/>
        <v>39631734.199880965</v>
      </c>
      <c r="E1153" s="515">
        <f t="shared" si="111"/>
        <v>1662869.9664285716</v>
      </c>
      <c r="F1153" s="515">
        <f t="shared" si="104"/>
        <v>37968864.233452395</v>
      </c>
      <c r="G1153" s="471">
        <f t="shared" si="105"/>
        <v>38800299.216666684</v>
      </c>
      <c r="H1153" s="509">
        <f>+J1129*G1153+E1153</f>
        <v>5937868.4343069531</v>
      </c>
      <c r="I1153" s="516">
        <f>+J1130*G1153+E1153</f>
        <v>5937868.4343069531</v>
      </c>
      <c r="J1153" s="512">
        <f t="shared" si="106"/>
        <v>0</v>
      </c>
      <c r="K1153" s="512"/>
      <c r="L1153" s="517"/>
      <c r="M1153" s="512">
        <f t="shared" si="107"/>
        <v>0</v>
      </c>
      <c r="N1153" s="517"/>
      <c r="O1153" s="512">
        <f t="shared" si="108"/>
        <v>0</v>
      </c>
      <c r="P1153" s="512">
        <f t="shared" si="109"/>
        <v>0</v>
      </c>
      <c r="Q1153" s="473"/>
    </row>
    <row r="1154" spans="3:17">
      <c r="C1154" s="508">
        <f>IF(D1128="","-",+C1153+1)</f>
        <v>2038</v>
      </c>
      <c r="D1154" s="471">
        <f t="shared" si="110"/>
        <v>37968864.233452395</v>
      </c>
      <c r="E1154" s="515">
        <f t="shared" si="111"/>
        <v>1662869.9664285716</v>
      </c>
      <c r="F1154" s="515">
        <f t="shared" si="104"/>
        <v>36305994.267023824</v>
      </c>
      <c r="G1154" s="471">
        <f t="shared" si="105"/>
        <v>37137429.250238106</v>
      </c>
      <c r="H1154" s="509">
        <f>+J1129*G1154+E1154</f>
        <v>5754654.2142550219</v>
      </c>
      <c r="I1154" s="516">
        <f>+J1130*G1154+E1154</f>
        <v>5754654.2142550219</v>
      </c>
      <c r="J1154" s="512">
        <f t="shared" si="106"/>
        <v>0</v>
      </c>
      <c r="K1154" s="512"/>
      <c r="L1154" s="517"/>
      <c r="M1154" s="512">
        <f t="shared" si="107"/>
        <v>0</v>
      </c>
      <c r="N1154" s="517"/>
      <c r="O1154" s="512">
        <f t="shared" si="108"/>
        <v>0</v>
      </c>
      <c r="P1154" s="512">
        <f t="shared" si="109"/>
        <v>0</v>
      </c>
      <c r="Q1154" s="473"/>
    </row>
    <row r="1155" spans="3:17">
      <c r="C1155" s="508">
        <f>IF(D1128="","-",+C1154+1)</f>
        <v>2039</v>
      </c>
      <c r="D1155" s="471">
        <f t="shared" si="110"/>
        <v>36305994.267023824</v>
      </c>
      <c r="E1155" s="515">
        <f t="shared" si="111"/>
        <v>1662869.9664285716</v>
      </c>
      <c r="F1155" s="515">
        <f t="shared" si="104"/>
        <v>34643124.300595254</v>
      </c>
      <c r="G1155" s="471">
        <f t="shared" si="105"/>
        <v>35474559.283809543</v>
      </c>
      <c r="H1155" s="509">
        <f>+J1129*G1155+E1155</f>
        <v>5571439.9942030925</v>
      </c>
      <c r="I1155" s="516">
        <f>+J1130*G1155+E1155</f>
        <v>5571439.9942030925</v>
      </c>
      <c r="J1155" s="512">
        <f t="shared" si="106"/>
        <v>0</v>
      </c>
      <c r="K1155" s="512"/>
      <c r="L1155" s="517"/>
      <c r="M1155" s="512">
        <f t="shared" si="107"/>
        <v>0</v>
      </c>
      <c r="N1155" s="517"/>
      <c r="O1155" s="512">
        <f t="shared" si="108"/>
        <v>0</v>
      </c>
      <c r="P1155" s="512">
        <f t="shared" si="109"/>
        <v>0</v>
      </c>
      <c r="Q1155" s="473"/>
    </row>
    <row r="1156" spans="3:17">
      <c r="C1156" s="508">
        <f>IF(D1128="","-",+C1155+1)</f>
        <v>2040</v>
      </c>
      <c r="D1156" s="471">
        <f t="shared" si="110"/>
        <v>34643124.300595254</v>
      </c>
      <c r="E1156" s="515">
        <f t="shared" si="111"/>
        <v>1662869.9664285716</v>
      </c>
      <c r="F1156" s="515">
        <f t="shared" si="104"/>
        <v>32980254.334166683</v>
      </c>
      <c r="G1156" s="471">
        <f t="shared" si="105"/>
        <v>33811689.317380965</v>
      </c>
      <c r="H1156" s="509">
        <f>+J1129*G1156+E1156</f>
        <v>5388225.7741511613</v>
      </c>
      <c r="I1156" s="516">
        <f>+J1130*G1156+E1156</f>
        <v>5388225.7741511613</v>
      </c>
      <c r="J1156" s="512">
        <f t="shared" si="106"/>
        <v>0</v>
      </c>
      <c r="K1156" s="512"/>
      <c r="L1156" s="517"/>
      <c r="M1156" s="512">
        <f t="shared" si="107"/>
        <v>0</v>
      </c>
      <c r="N1156" s="517"/>
      <c r="O1156" s="512">
        <f t="shared" si="108"/>
        <v>0</v>
      </c>
      <c r="P1156" s="512">
        <f t="shared" si="109"/>
        <v>0</v>
      </c>
      <c r="Q1156" s="473"/>
    </row>
    <row r="1157" spans="3:17">
      <c r="C1157" s="508">
        <f>IF(D1128="","-",+C1156+1)</f>
        <v>2041</v>
      </c>
      <c r="D1157" s="471">
        <f t="shared" si="110"/>
        <v>32980254.334166683</v>
      </c>
      <c r="E1157" s="515">
        <f t="shared" si="111"/>
        <v>1662869.9664285716</v>
      </c>
      <c r="F1157" s="515">
        <f t="shared" si="104"/>
        <v>31317384.367738113</v>
      </c>
      <c r="G1157" s="471">
        <f t="shared" si="105"/>
        <v>32148819.350952398</v>
      </c>
      <c r="H1157" s="509">
        <f>+J1129*G1157+E1157</f>
        <v>5205011.554099231</v>
      </c>
      <c r="I1157" s="516">
        <f>+J1130*G1157+E1157</f>
        <v>5205011.554099231</v>
      </c>
      <c r="J1157" s="512">
        <f t="shared" si="106"/>
        <v>0</v>
      </c>
      <c r="K1157" s="512"/>
      <c r="L1157" s="517"/>
      <c r="M1157" s="512">
        <f t="shared" si="107"/>
        <v>0</v>
      </c>
      <c r="N1157" s="517"/>
      <c r="O1157" s="512">
        <f t="shared" si="108"/>
        <v>0</v>
      </c>
      <c r="P1157" s="512">
        <f t="shared" si="109"/>
        <v>0</v>
      </c>
      <c r="Q1157" s="473"/>
    </row>
    <row r="1158" spans="3:17">
      <c r="C1158" s="508">
        <f>IF(D1128="","-",+C1157+1)</f>
        <v>2042</v>
      </c>
      <c r="D1158" s="471">
        <f t="shared" si="110"/>
        <v>31317384.367738113</v>
      </c>
      <c r="E1158" s="515">
        <f t="shared" si="111"/>
        <v>1662869.9664285716</v>
      </c>
      <c r="F1158" s="515">
        <f t="shared" si="104"/>
        <v>29654514.401309542</v>
      </c>
      <c r="G1158" s="471">
        <f t="shared" si="105"/>
        <v>30485949.384523828</v>
      </c>
      <c r="H1158" s="509">
        <f>+J1129*G1158+E1158</f>
        <v>5021797.3340473007</v>
      </c>
      <c r="I1158" s="516">
        <f>+J1130*G1158+E1158</f>
        <v>5021797.3340473007</v>
      </c>
      <c r="J1158" s="512">
        <f t="shared" si="106"/>
        <v>0</v>
      </c>
      <c r="K1158" s="512"/>
      <c r="L1158" s="517"/>
      <c r="M1158" s="512">
        <f t="shared" si="107"/>
        <v>0</v>
      </c>
      <c r="N1158" s="517"/>
      <c r="O1158" s="512">
        <f t="shared" si="108"/>
        <v>0</v>
      </c>
      <c r="P1158" s="512">
        <f t="shared" si="109"/>
        <v>0</v>
      </c>
      <c r="Q1158" s="473"/>
    </row>
    <row r="1159" spans="3:17">
      <c r="C1159" s="508">
        <f>IF(D1128="","-",+C1158+1)</f>
        <v>2043</v>
      </c>
      <c r="D1159" s="471">
        <f t="shared" si="110"/>
        <v>29654514.401309542</v>
      </c>
      <c r="E1159" s="515">
        <f t="shared" si="111"/>
        <v>1662869.9664285716</v>
      </c>
      <c r="F1159" s="515">
        <f t="shared" si="104"/>
        <v>27991644.434880972</v>
      </c>
      <c r="G1159" s="471">
        <f t="shared" si="105"/>
        <v>28823079.418095257</v>
      </c>
      <c r="H1159" s="509">
        <f>+J1129*G1159+E1159</f>
        <v>4838583.1139953705</v>
      </c>
      <c r="I1159" s="516">
        <f>+J1130*G1159+E1159</f>
        <v>4838583.1139953705</v>
      </c>
      <c r="J1159" s="512">
        <f t="shared" si="106"/>
        <v>0</v>
      </c>
      <c r="K1159" s="512"/>
      <c r="L1159" s="517"/>
      <c r="M1159" s="512">
        <f t="shared" si="107"/>
        <v>0</v>
      </c>
      <c r="N1159" s="517"/>
      <c r="O1159" s="512">
        <f t="shared" si="108"/>
        <v>0</v>
      </c>
      <c r="P1159" s="512">
        <f t="shared" si="109"/>
        <v>0</v>
      </c>
      <c r="Q1159" s="473"/>
    </row>
    <row r="1160" spans="3:17">
      <c r="C1160" s="508">
        <f>IF(D1128="","-",+C1159+1)</f>
        <v>2044</v>
      </c>
      <c r="D1160" s="471">
        <f t="shared" si="110"/>
        <v>27991644.434880972</v>
      </c>
      <c r="E1160" s="515">
        <f t="shared" si="111"/>
        <v>1662869.9664285716</v>
      </c>
      <c r="F1160" s="515">
        <f t="shared" si="104"/>
        <v>26328774.468452401</v>
      </c>
      <c r="G1160" s="471">
        <f t="shared" si="105"/>
        <v>27160209.451666687</v>
      </c>
      <c r="H1160" s="509">
        <f>+J1129*G1160+E1160</f>
        <v>4655368.8939434402</v>
      </c>
      <c r="I1160" s="516">
        <f>+J1130*G1160+E1160</f>
        <v>4655368.8939434402</v>
      </c>
      <c r="J1160" s="512">
        <f t="shared" si="106"/>
        <v>0</v>
      </c>
      <c r="K1160" s="512"/>
      <c r="L1160" s="517"/>
      <c r="M1160" s="512">
        <f t="shared" si="107"/>
        <v>0</v>
      </c>
      <c r="N1160" s="517"/>
      <c r="O1160" s="512">
        <f t="shared" si="108"/>
        <v>0</v>
      </c>
      <c r="P1160" s="512">
        <f t="shared" si="109"/>
        <v>0</v>
      </c>
      <c r="Q1160" s="473"/>
    </row>
    <row r="1161" spans="3:17">
      <c r="C1161" s="508">
        <f>IF(D1128="","-",+C1160+1)</f>
        <v>2045</v>
      </c>
      <c r="D1161" s="471">
        <f t="shared" si="110"/>
        <v>26328774.468452401</v>
      </c>
      <c r="E1161" s="515">
        <f t="shared" si="111"/>
        <v>1662869.9664285716</v>
      </c>
      <c r="F1161" s="515">
        <f t="shared" si="104"/>
        <v>24665904.502023831</v>
      </c>
      <c r="G1161" s="471">
        <f t="shared" si="105"/>
        <v>25497339.485238116</v>
      </c>
      <c r="H1161" s="509">
        <f>+J1129*G1161+E1161</f>
        <v>4472154.6738915099</v>
      </c>
      <c r="I1161" s="516">
        <f>+J1130*G1161+E1161</f>
        <v>4472154.6738915099</v>
      </c>
      <c r="J1161" s="512">
        <f t="shared" si="106"/>
        <v>0</v>
      </c>
      <c r="K1161" s="512"/>
      <c r="L1161" s="517"/>
      <c r="M1161" s="512">
        <f t="shared" si="107"/>
        <v>0</v>
      </c>
      <c r="N1161" s="517"/>
      <c r="O1161" s="512">
        <f t="shared" si="108"/>
        <v>0</v>
      </c>
      <c r="P1161" s="512">
        <f t="shared" si="109"/>
        <v>0</v>
      </c>
      <c r="Q1161" s="473"/>
    </row>
    <row r="1162" spans="3:17">
      <c r="C1162" s="508">
        <f>IF(D1128="","-",+C1161+1)</f>
        <v>2046</v>
      </c>
      <c r="D1162" s="471">
        <f t="shared" si="110"/>
        <v>24665904.502023831</v>
      </c>
      <c r="E1162" s="515">
        <f t="shared" si="111"/>
        <v>1662869.9664285716</v>
      </c>
      <c r="F1162" s="515">
        <f t="shared" si="104"/>
        <v>23003034.535595261</v>
      </c>
      <c r="G1162" s="471">
        <f t="shared" si="105"/>
        <v>23834469.518809546</v>
      </c>
      <c r="H1162" s="509">
        <f>+J1129*G1162+E1162</f>
        <v>4288940.4538395787</v>
      </c>
      <c r="I1162" s="516">
        <f>+J1130*G1162+E1162</f>
        <v>4288940.4538395787</v>
      </c>
      <c r="J1162" s="512">
        <f t="shared" si="106"/>
        <v>0</v>
      </c>
      <c r="K1162" s="512"/>
      <c r="L1162" s="517"/>
      <c r="M1162" s="512">
        <f t="shared" si="107"/>
        <v>0</v>
      </c>
      <c r="N1162" s="517"/>
      <c r="O1162" s="512">
        <f t="shared" si="108"/>
        <v>0</v>
      </c>
      <c r="P1162" s="512">
        <f t="shared" si="109"/>
        <v>0</v>
      </c>
      <c r="Q1162" s="473"/>
    </row>
    <row r="1163" spans="3:17">
      <c r="C1163" s="508">
        <f>IF(D1128="","-",+C1162+1)</f>
        <v>2047</v>
      </c>
      <c r="D1163" s="471">
        <f t="shared" si="110"/>
        <v>23003034.535595261</v>
      </c>
      <c r="E1163" s="515">
        <f t="shared" si="111"/>
        <v>1662869.9664285716</v>
      </c>
      <c r="F1163" s="515">
        <f t="shared" si="104"/>
        <v>21340164.56916669</v>
      </c>
      <c r="G1163" s="471">
        <f t="shared" si="105"/>
        <v>22171599.552380975</v>
      </c>
      <c r="H1163" s="509">
        <f>+J1129*G1163+E1163</f>
        <v>4105726.2337876484</v>
      </c>
      <c r="I1163" s="516">
        <f>+J1130*G1163+E1163</f>
        <v>4105726.2337876484</v>
      </c>
      <c r="J1163" s="512">
        <f t="shared" si="106"/>
        <v>0</v>
      </c>
      <c r="K1163" s="512"/>
      <c r="L1163" s="517"/>
      <c r="M1163" s="512">
        <f t="shared" si="107"/>
        <v>0</v>
      </c>
      <c r="N1163" s="517"/>
      <c r="O1163" s="512">
        <f t="shared" si="108"/>
        <v>0</v>
      </c>
      <c r="P1163" s="512">
        <f t="shared" si="109"/>
        <v>0</v>
      </c>
      <c r="Q1163" s="473"/>
    </row>
    <row r="1164" spans="3:17">
      <c r="C1164" s="508">
        <f>IF(D1128="","-",+C1163+1)</f>
        <v>2048</v>
      </c>
      <c r="D1164" s="471">
        <f t="shared" si="110"/>
        <v>21340164.56916669</v>
      </c>
      <c r="E1164" s="515">
        <f t="shared" si="111"/>
        <v>1662869.9664285716</v>
      </c>
      <c r="F1164" s="515">
        <f t="shared" si="104"/>
        <v>19677294.60273812</v>
      </c>
      <c r="G1164" s="471">
        <f t="shared" si="105"/>
        <v>20508729.585952405</v>
      </c>
      <c r="H1164" s="509">
        <f>+J1129*G1164+E1164</f>
        <v>3922512.0137357181</v>
      </c>
      <c r="I1164" s="516">
        <f>+J1130*G1164+E1164</f>
        <v>3922512.0137357181</v>
      </c>
      <c r="J1164" s="512">
        <f t="shared" si="106"/>
        <v>0</v>
      </c>
      <c r="K1164" s="512"/>
      <c r="L1164" s="517"/>
      <c r="M1164" s="512">
        <f t="shared" si="107"/>
        <v>0</v>
      </c>
      <c r="N1164" s="517"/>
      <c r="O1164" s="512">
        <f t="shared" si="108"/>
        <v>0</v>
      </c>
      <c r="P1164" s="512">
        <f t="shared" si="109"/>
        <v>0</v>
      </c>
      <c r="Q1164" s="473"/>
    </row>
    <row r="1165" spans="3:17">
      <c r="C1165" s="508">
        <f>IF(D1128="","-",+C1164+1)</f>
        <v>2049</v>
      </c>
      <c r="D1165" s="471">
        <f t="shared" si="110"/>
        <v>19677294.60273812</v>
      </c>
      <c r="E1165" s="515">
        <f t="shared" si="111"/>
        <v>1662869.9664285716</v>
      </c>
      <c r="F1165" s="515">
        <f t="shared" si="104"/>
        <v>18014424.636309549</v>
      </c>
      <c r="G1165" s="471">
        <f t="shared" si="105"/>
        <v>18845859.619523834</v>
      </c>
      <c r="H1165" s="509">
        <f>+J1129*G1165+E1165</f>
        <v>3739297.7936837878</v>
      </c>
      <c r="I1165" s="516">
        <f>+J1130*G1165+E1165</f>
        <v>3739297.7936837878</v>
      </c>
      <c r="J1165" s="512">
        <f t="shared" si="106"/>
        <v>0</v>
      </c>
      <c r="K1165" s="512"/>
      <c r="L1165" s="517"/>
      <c r="M1165" s="512">
        <f t="shared" si="107"/>
        <v>0</v>
      </c>
      <c r="N1165" s="517"/>
      <c r="O1165" s="512">
        <f t="shared" si="108"/>
        <v>0</v>
      </c>
      <c r="P1165" s="512">
        <f t="shared" si="109"/>
        <v>0</v>
      </c>
      <c r="Q1165" s="473"/>
    </row>
    <row r="1166" spans="3:17">
      <c r="C1166" s="508">
        <f>IF(D1128="","-",+C1165+1)</f>
        <v>2050</v>
      </c>
      <c r="D1166" s="471">
        <f t="shared" si="110"/>
        <v>18014424.636309549</v>
      </c>
      <c r="E1166" s="515">
        <f t="shared" si="111"/>
        <v>1662869.9664285716</v>
      </c>
      <c r="F1166" s="515">
        <f t="shared" si="104"/>
        <v>16351554.669880977</v>
      </c>
      <c r="G1166" s="471">
        <f t="shared" si="105"/>
        <v>17182989.653095264</v>
      </c>
      <c r="H1166" s="509">
        <f>+J1129*G1166+E1166</f>
        <v>3556083.5736318571</v>
      </c>
      <c r="I1166" s="516">
        <f>+J1130*G1166+E1166</f>
        <v>3556083.5736318571</v>
      </c>
      <c r="J1166" s="512">
        <f t="shared" si="106"/>
        <v>0</v>
      </c>
      <c r="K1166" s="512"/>
      <c r="L1166" s="517"/>
      <c r="M1166" s="512">
        <f t="shared" si="107"/>
        <v>0</v>
      </c>
      <c r="N1166" s="517"/>
      <c r="O1166" s="512">
        <f t="shared" si="108"/>
        <v>0</v>
      </c>
      <c r="P1166" s="512">
        <f t="shared" si="109"/>
        <v>0</v>
      </c>
      <c r="Q1166" s="473"/>
    </row>
    <row r="1167" spans="3:17">
      <c r="C1167" s="508">
        <f>IF(D1128="","-",+C1166+1)</f>
        <v>2051</v>
      </c>
      <c r="D1167" s="471">
        <f t="shared" si="110"/>
        <v>16351554.669880977</v>
      </c>
      <c r="E1167" s="515">
        <f t="shared" si="111"/>
        <v>1662869.9664285716</v>
      </c>
      <c r="F1167" s="515">
        <f t="shared" si="104"/>
        <v>14688684.703452405</v>
      </c>
      <c r="G1167" s="471">
        <f t="shared" si="105"/>
        <v>15520119.68666669</v>
      </c>
      <c r="H1167" s="509">
        <f>+J1129*G1167+E1167</f>
        <v>3372869.3535799263</v>
      </c>
      <c r="I1167" s="516">
        <f>+J1130*G1167+E1167</f>
        <v>3372869.3535799263</v>
      </c>
      <c r="J1167" s="512">
        <f t="shared" si="106"/>
        <v>0</v>
      </c>
      <c r="K1167" s="512"/>
      <c r="L1167" s="517"/>
      <c r="M1167" s="512">
        <f t="shared" si="107"/>
        <v>0</v>
      </c>
      <c r="N1167" s="517"/>
      <c r="O1167" s="512">
        <f t="shared" si="108"/>
        <v>0</v>
      </c>
      <c r="P1167" s="512">
        <f t="shared" si="109"/>
        <v>0</v>
      </c>
      <c r="Q1167" s="473"/>
    </row>
    <row r="1168" spans="3:17">
      <c r="C1168" s="508">
        <f>IF(D1128="","-",+C1167+1)</f>
        <v>2052</v>
      </c>
      <c r="D1168" s="471">
        <f t="shared" si="110"/>
        <v>14688684.703452405</v>
      </c>
      <c r="E1168" s="515">
        <f t="shared" si="111"/>
        <v>1662869.9664285716</v>
      </c>
      <c r="F1168" s="515">
        <f t="shared" si="104"/>
        <v>13025814.737023832</v>
      </c>
      <c r="G1168" s="471">
        <f t="shared" si="105"/>
        <v>13857249.720238119</v>
      </c>
      <c r="H1168" s="509">
        <f>+J1129*G1168+E1168</f>
        <v>3189655.133527996</v>
      </c>
      <c r="I1168" s="516">
        <f>+J1130*G1168+E1168</f>
        <v>3189655.133527996</v>
      </c>
      <c r="J1168" s="512">
        <f t="shared" si="106"/>
        <v>0</v>
      </c>
      <c r="K1168" s="512"/>
      <c r="L1168" s="517"/>
      <c r="M1168" s="512">
        <f t="shared" si="107"/>
        <v>0</v>
      </c>
      <c r="N1168" s="517"/>
      <c r="O1168" s="512">
        <f t="shared" si="108"/>
        <v>0</v>
      </c>
      <c r="P1168" s="512">
        <f t="shared" si="109"/>
        <v>0</v>
      </c>
      <c r="Q1168" s="473"/>
    </row>
    <row r="1169" spans="3:17">
      <c r="C1169" s="508">
        <f>IF(D1128="","-",+C1168+1)</f>
        <v>2053</v>
      </c>
      <c r="D1169" s="471">
        <f t="shared" si="110"/>
        <v>13025814.737023832</v>
      </c>
      <c r="E1169" s="515">
        <f t="shared" si="111"/>
        <v>1662869.9664285716</v>
      </c>
      <c r="F1169" s="515">
        <f t="shared" si="104"/>
        <v>11362944.77059526</v>
      </c>
      <c r="G1169" s="471">
        <f t="shared" si="105"/>
        <v>12194379.753809545</v>
      </c>
      <c r="H1169" s="509">
        <f>+J1129*G1169+E1169</f>
        <v>3006440.9134760648</v>
      </c>
      <c r="I1169" s="516">
        <f>+J1130*G1169+E1169</f>
        <v>3006440.9134760648</v>
      </c>
      <c r="J1169" s="512">
        <f t="shared" si="106"/>
        <v>0</v>
      </c>
      <c r="K1169" s="512"/>
      <c r="L1169" s="517"/>
      <c r="M1169" s="512">
        <f t="shared" si="107"/>
        <v>0</v>
      </c>
      <c r="N1169" s="517"/>
      <c r="O1169" s="512">
        <f t="shared" si="108"/>
        <v>0</v>
      </c>
      <c r="P1169" s="512">
        <f t="shared" si="109"/>
        <v>0</v>
      </c>
      <c r="Q1169" s="473"/>
    </row>
    <row r="1170" spans="3:17">
      <c r="C1170" s="508">
        <f>IF(D1128="","-",+C1169+1)</f>
        <v>2054</v>
      </c>
      <c r="D1170" s="471">
        <f t="shared" si="110"/>
        <v>11362944.77059526</v>
      </c>
      <c r="E1170" s="515">
        <f t="shared" si="111"/>
        <v>1662869.9664285716</v>
      </c>
      <c r="F1170" s="515">
        <f t="shared" si="104"/>
        <v>9700074.8041666877</v>
      </c>
      <c r="G1170" s="471">
        <f t="shared" si="105"/>
        <v>10531509.787380975</v>
      </c>
      <c r="H1170" s="509">
        <f>+J1129*G1170+E1170</f>
        <v>2823226.6934241345</v>
      </c>
      <c r="I1170" s="516">
        <f>+J1130*G1170+E1170</f>
        <v>2823226.6934241345</v>
      </c>
      <c r="J1170" s="512">
        <f t="shared" si="106"/>
        <v>0</v>
      </c>
      <c r="K1170" s="512"/>
      <c r="L1170" s="517"/>
      <c r="M1170" s="512">
        <f t="shared" si="107"/>
        <v>0</v>
      </c>
      <c r="N1170" s="517"/>
      <c r="O1170" s="512">
        <f t="shared" si="108"/>
        <v>0</v>
      </c>
      <c r="P1170" s="512">
        <f t="shared" si="109"/>
        <v>0</v>
      </c>
      <c r="Q1170" s="473"/>
    </row>
    <row r="1171" spans="3:17">
      <c r="C1171" s="508">
        <f>IF(D1128="","-",+C1170+1)</f>
        <v>2055</v>
      </c>
      <c r="D1171" s="471">
        <f t="shared" si="110"/>
        <v>9700074.8041666877</v>
      </c>
      <c r="E1171" s="515">
        <f t="shared" si="111"/>
        <v>1662869.9664285716</v>
      </c>
      <c r="F1171" s="515">
        <f t="shared" si="104"/>
        <v>8037204.8377381163</v>
      </c>
      <c r="G1171" s="471">
        <f t="shared" si="105"/>
        <v>8868639.8209524024</v>
      </c>
      <c r="H1171" s="509">
        <f>+J1129*G1171+E1171</f>
        <v>2640012.4733722038</v>
      </c>
      <c r="I1171" s="516">
        <f>+J1130*G1171+E1171</f>
        <v>2640012.4733722038</v>
      </c>
      <c r="J1171" s="512">
        <f t="shared" si="106"/>
        <v>0</v>
      </c>
      <c r="K1171" s="512"/>
      <c r="L1171" s="517"/>
      <c r="M1171" s="512">
        <f t="shared" si="107"/>
        <v>0</v>
      </c>
      <c r="N1171" s="517"/>
      <c r="O1171" s="512">
        <f t="shared" si="108"/>
        <v>0</v>
      </c>
      <c r="P1171" s="512">
        <f t="shared" si="109"/>
        <v>0</v>
      </c>
      <c r="Q1171" s="473"/>
    </row>
    <row r="1172" spans="3:17">
      <c r="C1172" s="508">
        <f>IF(D1128="","-",+C1171+1)</f>
        <v>2056</v>
      </c>
      <c r="D1172" s="471">
        <f t="shared" si="110"/>
        <v>8037204.8377381163</v>
      </c>
      <c r="E1172" s="515">
        <f t="shared" si="111"/>
        <v>1662869.9664285716</v>
      </c>
      <c r="F1172" s="515">
        <f t="shared" si="104"/>
        <v>6374334.8713095449</v>
      </c>
      <c r="G1172" s="471">
        <f t="shared" si="105"/>
        <v>7205769.8545238301</v>
      </c>
      <c r="H1172" s="509">
        <f>+J1129*G1172+E1172</f>
        <v>2456798.253320273</v>
      </c>
      <c r="I1172" s="516">
        <f>+J1130*G1172+E1172</f>
        <v>2456798.253320273</v>
      </c>
      <c r="J1172" s="512">
        <f t="shared" si="106"/>
        <v>0</v>
      </c>
      <c r="K1172" s="512"/>
      <c r="L1172" s="517"/>
      <c r="M1172" s="512">
        <f t="shared" si="107"/>
        <v>0</v>
      </c>
      <c r="N1172" s="517"/>
      <c r="O1172" s="512">
        <f t="shared" si="108"/>
        <v>0</v>
      </c>
      <c r="P1172" s="512">
        <f t="shared" si="109"/>
        <v>0</v>
      </c>
      <c r="Q1172" s="473"/>
    </row>
    <row r="1173" spans="3:17">
      <c r="C1173" s="508">
        <f>IF(D1128="","-",+C1172+1)</f>
        <v>2057</v>
      </c>
      <c r="D1173" s="471">
        <f t="shared" si="110"/>
        <v>6374334.8713095449</v>
      </c>
      <c r="E1173" s="515">
        <f t="shared" si="111"/>
        <v>1662869.9664285716</v>
      </c>
      <c r="F1173" s="515">
        <f t="shared" si="104"/>
        <v>4711464.9048809735</v>
      </c>
      <c r="G1173" s="471">
        <f t="shared" si="105"/>
        <v>5542899.8880952597</v>
      </c>
      <c r="H1173" s="509">
        <f>+J1129*G1173+E1173</f>
        <v>2273584.0332683427</v>
      </c>
      <c r="I1173" s="516">
        <f>+J1130*G1173+E1173</f>
        <v>2273584.0332683427</v>
      </c>
      <c r="J1173" s="512">
        <f t="shared" si="106"/>
        <v>0</v>
      </c>
      <c r="K1173" s="512"/>
      <c r="L1173" s="517"/>
      <c r="M1173" s="512">
        <f t="shared" si="107"/>
        <v>0</v>
      </c>
      <c r="N1173" s="517"/>
      <c r="O1173" s="512">
        <f t="shared" si="108"/>
        <v>0</v>
      </c>
      <c r="P1173" s="512">
        <f t="shared" si="109"/>
        <v>0</v>
      </c>
      <c r="Q1173" s="473"/>
    </row>
    <row r="1174" spans="3:17">
      <c r="C1174" s="508">
        <f>IF(D1128="","-",+C1173+1)</f>
        <v>2058</v>
      </c>
      <c r="D1174" s="471">
        <f t="shared" si="110"/>
        <v>4711464.9048809735</v>
      </c>
      <c r="E1174" s="515">
        <f t="shared" si="111"/>
        <v>1662869.9664285716</v>
      </c>
      <c r="F1174" s="515">
        <f t="shared" si="104"/>
        <v>3048594.9384524021</v>
      </c>
      <c r="G1174" s="471">
        <f t="shared" si="105"/>
        <v>3880029.9216666878</v>
      </c>
      <c r="H1174" s="509">
        <f>+J1129*G1174+E1174</f>
        <v>2090369.813216412</v>
      </c>
      <c r="I1174" s="516">
        <f>+J1130*G1174+E1174</f>
        <v>2090369.813216412</v>
      </c>
      <c r="J1174" s="512">
        <f t="shared" si="106"/>
        <v>0</v>
      </c>
      <c r="K1174" s="512"/>
      <c r="L1174" s="517"/>
      <c r="M1174" s="512">
        <f t="shared" si="107"/>
        <v>0</v>
      </c>
      <c r="N1174" s="517"/>
      <c r="O1174" s="512">
        <f t="shared" si="108"/>
        <v>0</v>
      </c>
      <c r="P1174" s="512">
        <f t="shared" si="109"/>
        <v>0</v>
      </c>
      <c r="Q1174" s="473"/>
    </row>
    <row r="1175" spans="3:17">
      <c r="C1175" s="508">
        <f>IF(D1128="","-",+C1174+1)</f>
        <v>2059</v>
      </c>
      <c r="D1175" s="471">
        <f t="shared" si="110"/>
        <v>3048594.9384524021</v>
      </c>
      <c r="E1175" s="515">
        <f t="shared" si="111"/>
        <v>1662869.9664285716</v>
      </c>
      <c r="F1175" s="515">
        <f t="shared" si="104"/>
        <v>1385724.9720238305</v>
      </c>
      <c r="G1175" s="471">
        <f t="shared" si="105"/>
        <v>2217159.9552381164</v>
      </c>
      <c r="H1175" s="509">
        <f>+J1129*G1175+E1175</f>
        <v>1907155.5931644815</v>
      </c>
      <c r="I1175" s="516">
        <f>+J1130*G1175+E1175</f>
        <v>1907155.5931644815</v>
      </c>
      <c r="J1175" s="512">
        <f t="shared" si="106"/>
        <v>0</v>
      </c>
      <c r="K1175" s="512"/>
      <c r="L1175" s="517"/>
      <c r="M1175" s="512">
        <f t="shared" si="107"/>
        <v>0</v>
      </c>
      <c r="N1175" s="517"/>
      <c r="O1175" s="512">
        <f t="shared" si="108"/>
        <v>0</v>
      </c>
      <c r="P1175" s="512">
        <f t="shared" si="109"/>
        <v>0</v>
      </c>
      <c r="Q1175" s="473"/>
    </row>
    <row r="1176" spans="3:17">
      <c r="C1176" s="508">
        <f>IF(D1128="","-",+C1175+1)</f>
        <v>2060</v>
      </c>
      <c r="D1176" s="471">
        <f t="shared" si="110"/>
        <v>1385724.9720238305</v>
      </c>
      <c r="E1176" s="515">
        <f t="shared" si="111"/>
        <v>1385724.9720238305</v>
      </c>
      <c r="F1176" s="515">
        <f t="shared" si="104"/>
        <v>0</v>
      </c>
      <c r="G1176" s="471">
        <f t="shared" si="105"/>
        <v>692862.48601191526</v>
      </c>
      <c r="H1176" s="509">
        <f>+J1129*G1176+E1176</f>
        <v>1462064.2303788029</v>
      </c>
      <c r="I1176" s="516">
        <f>+J1130*G1176+E1176</f>
        <v>1462064.2303788029</v>
      </c>
      <c r="J1176" s="512">
        <f t="shared" si="106"/>
        <v>0</v>
      </c>
      <c r="K1176" s="512"/>
      <c r="L1176" s="517"/>
      <c r="M1176" s="512">
        <f t="shared" si="107"/>
        <v>0</v>
      </c>
      <c r="N1176" s="517"/>
      <c r="O1176" s="512">
        <f t="shared" si="108"/>
        <v>0</v>
      </c>
      <c r="P1176" s="512">
        <f t="shared" si="109"/>
        <v>0</v>
      </c>
      <c r="Q1176" s="473"/>
    </row>
    <row r="1177" spans="3:17">
      <c r="C1177" s="508">
        <f>IF(D1128="","-",+C1176+1)</f>
        <v>2061</v>
      </c>
      <c r="D1177" s="471">
        <f t="shared" si="110"/>
        <v>0</v>
      </c>
      <c r="E1177" s="515">
        <f t="shared" si="111"/>
        <v>0</v>
      </c>
      <c r="F1177" s="515">
        <f t="shared" si="104"/>
        <v>0</v>
      </c>
      <c r="G1177" s="471">
        <f t="shared" si="105"/>
        <v>0</v>
      </c>
      <c r="H1177" s="509">
        <f>+J1129*G1177+E1177</f>
        <v>0</v>
      </c>
      <c r="I1177" s="516">
        <f>+J1130*G1177+E1177</f>
        <v>0</v>
      </c>
      <c r="J1177" s="512">
        <f t="shared" si="106"/>
        <v>0</v>
      </c>
      <c r="K1177" s="512"/>
      <c r="L1177" s="517"/>
      <c r="M1177" s="512">
        <f t="shared" si="107"/>
        <v>0</v>
      </c>
      <c r="N1177" s="517"/>
      <c r="O1177" s="512">
        <f t="shared" si="108"/>
        <v>0</v>
      </c>
      <c r="P1177" s="512">
        <f t="shared" si="109"/>
        <v>0</v>
      </c>
      <c r="Q1177" s="473"/>
    </row>
    <row r="1178" spans="3:17">
      <c r="C1178" s="508">
        <f>IF(D1128="","-",+C1177+1)</f>
        <v>2062</v>
      </c>
      <c r="D1178" s="471">
        <f t="shared" si="110"/>
        <v>0</v>
      </c>
      <c r="E1178" s="515">
        <f t="shared" si="111"/>
        <v>0</v>
      </c>
      <c r="F1178" s="515">
        <f t="shared" si="104"/>
        <v>0</v>
      </c>
      <c r="G1178" s="471">
        <f t="shared" si="105"/>
        <v>0</v>
      </c>
      <c r="H1178" s="509">
        <f>+J1129*G1178+E1178</f>
        <v>0</v>
      </c>
      <c r="I1178" s="516">
        <f>+J1130*G1178+E1178</f>
        <v>0</v>
      </c>
      <c r="J1178" s="512">
        <f t="shared" si="106"/>
        <v>0</v>
      </c>
      <c r="K1178" s="512"/>
      <c r="L1178" s="517"/>
      <c r="M1178" s="512">
        <f t="shared" si="107"/>
        <v>0</v>
      </c>
      <c r="N1178" s="517"/>
      <c r="O1178" s="512">
        <f t="shared" si="108"/>
        <v>0</v>
      </c>
      <c r="P1178" s="512">
        <f t="shared" si="109"/>
        <v>0</v>
      </c>
      <c r="Q1178" s="473"/>
    </row>
    <row r="1179" spans="3:17">
      <c r="C1179" s="508">
        <f>IF(D1128="","-",+C1178+1)</f>
        <v>2063</v>
      </c>
      <c r="D1179" s="471">
        <f t="shared" si="110"/>
        <v>0</v>
      </c>
      <c r="E1179" s="515">
        <f t="shared" si="111"/>
        <v>0</v>
      </c>
      <c r="F1179" s="515">
        <f t="shared" si="104"/>
        <v>0</v>
      </c>
      <c r="G1179" s="471">
        <f t="shared" si="105"/>
        <v>0</v>
      </c>
      <c r="H1179" s="509">
        <f>+J1129*G1179+E1179</f>
        <v>0</v>
      </c>
      <c r="I1179" s="516">
        <f>+J1130*G1179+E1179</f>
        <v>0</v>
      </c>
      <c r="J1179" s="512">
        <f t="shared" si="106"/>
        <v>0</v>
      </c>
      <c r="K1179" s="512"/>
      <c r="L1179" s="517"/>
      <c r="M1179" s="512">
        <f t="shared" si="107"/>
        <v>0</v>
      </c>
      <c r="N1179" s="517"/>
      <c r="O1179" s="512">
        <f t="shared" si="108"/>
        <v>0</v>
      </c>
      <c r="P1179" s="512">
        <f t="shared" si="109"/>
        <v>0</v>
      </c>
      <c r="Q1179" s="473"/>
    </row>
    <row r="1180" spans="3:17">
      <c r="C1180" s="508">
        <f>IF(D1128="","-",+C1179+1)</f>
        <v>2064</v>
      </c>
      <c r="D1180" s="471">
        <f t="shared" si="110"/>
        <v>0</v>
      </c>
      <c r="E1180" s="515">
        <f t="shared" si="111"/>
        <v>0</v>
      </c>
      <c r="F1180" s="515">
        <f t="shared" si="104"/>
        <v>0</v>
      </c>
      <c r="G1180" s="471">
        <f t="shared" si="105"/>
        <v>0</v>
      </c>
      <c r="H1180" s="509">
        <f>+J1129*G1180+E1180</f>
        <v>0</v>
      </c>
      <c r="I1180" s="516">
        <f>+J1130*G1180+E1180</f>
        <v>0</v>
      </c>
      <c r="J1180" s="512">
        <f t="shared" si="106"/>
        <v>0</v>
      </c>
      <c r="K1180" s="512"/>
      <c r="L1180" s="517"/>
      <c r="M1180" s="512">
        <f t="shared" si="107"/>
        <v>0</v>
      </c>
      <c r="N1180" s="517"/>
      <c r="O1180" s="512">
        <f t="shared" si="108"/>
        <v>0</v>
      </c>
      <c r="P1180" s="512">
        <f t="shared" si="109"/>
        <v>0</v>
      </c>
      <c r="Q1180" s="473"/>
    </row>
    <row r="1181" spans="3:17">
      <c r="C1181" s="508">
        <f>IF(D1128="","-",+C1180+1)</f>
        <v>2065</v>
      </c>
      <c r="D1181" s="471">
        <f t="shared" si="110"/>
        <v>0</v>
      </c>
      <c r="E1181" s="515">
        <f t="shared" si="111"/>
        <v>0</v>
      </c>
      <c r="F1181" s="515">
        <f t="shared" si="104"/>
        <v>0</v>
      </c>
      <c r="G1181" s="471">
        <f t="shared" si="105"/>
        <v>0</v>
      </c>
      <c r="H1181" s="509">
        <f>+J1129*G1181+E1181</f>
        <v>0</v>
      </c>
      <c r="I1181" s="516">
        <f>+J1130*G1181+E1181</f>
        <v>0</v>
      </c>
      <c r="J1181" s="512">
        <f t="shared" si="106"/>
        <v>0</v>
      </c>
      <c r="K1181" s="512"/>
      <c r="L1181" s="517"/>
      <c r="M1181" s="512">
        <f t="shared" si="107"/>
        <v>0</v>
      </c>
      <c r="N1181" s="517"/>
      <c r="O1181" s="512">
        <f t="shared" si="108"/>
        <v>0</v>
      </c>
      <c r="P1181" s="512">
        <f t="shared" si="109"/>
        <v>0</v>
      </c>
      <c r="Q1181" s="473"/>
    </row>
    <row r="1182" spans="3:17">
      <c r="C1182" s="508">
        <f>IF(D1128="","-",+C1181+1)</f>
        <v>2066</v>
      </c>
      <c r="D1182" s="471">
        <f t="shared" si="110"/>
        <v>0</v>
      </c>
      <c r="E1182" s="515">
        <f t="shared" si="111"/>
        <v>0</v>
      </c>
      <c r="F1182" s="515">
        <f t="shared" si="104"/>
        <v>0</v>
      </c>
      <c r="G1182" s="471">
        <f t="shared" si="105"/>
        <v>0</v>
      </c>
      <c r="H1182" s="509">
        <f>+J1129*G1182+E1182</f>
        <v>0</v>
      </c>
      <c r="I1182" s="516">
        <f>+J1130*G1182+E1182</f>
        <v>0</v>
      </c>
      <c r="J1182" s="512">
        <f t="shared" si="106"/>
        <v>0</v>
      </c>
      <c r="K1182" s="512"/>
      <c r="L1182" s="517"/>
      <c r="M1182" s="512">
        <f t="shared" si="107"/>
        <v>0</v>
      </c>
      <c r="N1182" s="517"/>
      <c r="O1182" s="512">
        <f t="shared" si="108"/>
        <v>0</v>
      </c>
      <c r="P1182" s="512">
        <f t="shared" si="109"/>
        <v>0</v>
      </c>
      <c r="Q1182" s="473"/>
    </row>
    <row r="1183" spans="3:17">
      <c r="C1183" s="508">
        <f>IF(D1128="","-",+C1182+1)</f>
        <v>2067</v>
      </c>
      <c r="D1183" s="471">
        <f t="shared" si="110"/>
        <v>0</v>
      </c>
      <c r="E1183" s="515">
        <f t="shared" si="111"/>
        <v>0</v>
      </c>
      <c r="F1183" s="515">
        <f t="shared" si="104"/>
        <v>0</v>
      </c>
      <c r="G1183" s="471">
        <f t="shared" si="105"/>
        <v>0</v>
      </c>
      <c r="H1183" s="509">
        <f>+J1129*G1183+E1183</f>
        <v>0</v>
      </c>
      <c r="I1183" s="516">
        <f>+J1130*G1183+E1183</f>
        <v>0</v>
      </c>
      <c r="J1183" s="512">
        <f t="shared" si="106"/>
        <v>0</v>
      </c>
      <c r="K1183" s="512"/>
      <c r="L1183" s="517"/>
      <c r="M1183" s="512">
        <f t="shared" si="107"/>
        <v>0</v>
      </c>
      <c r="N1183" s="517"/>
      <c r="O1183" s="512">
        <f t="shared" si="108"/>
        <v>0</v>
      </c>
      <c r="P1183" s="512">
        <f t="shared" si="109"/>
        <v>0</v>
      </c>
      <c r="Q1183" s="473"/>
    </row>
    <row r="1184" spans="3:17">
      <c r="C1184" s="508">
        <f>IF(D1128="","-",+C1183+1)</f>
        <v>2068</v>
      </c>
      <c r="D1184" s="471">
        <f t="shared" si="110"/>
        <v>0</v>
      </c>
      <c r="E1184" s="515">
        <f t="shared" si="111"/>
        <v>0</v>
      </c>
      <c r="F1184" s="515">
        <f t="shared" si="104"/>
        <v>0</v>
      </c>
      <c r="G1184" s="471">
        <f t="shared" si="105"/>
        <v>0</v>
      </c>
      <c r="H1184" s="509">
        <f>+J1129*G1184+E1184</f>
        <v>0</v>
      </c>
      <c r="I1184" s="516">
        <f>+J1130*G1184+E1184</f>
        <v>0</v>
      </c>
      <c r="J1184" s="512">
        <f t="shared" si="106"/>
        <v>0</v>
      </c>
      <c r="K1184" s="512"/>
      <c r="L1184" s="517"/>
      <c r="M1184" s="512">
        <f t="shared" si="107"/>
        <v>0</v>
      </c>
      <c r="N1184" s="517"/>
      <c r="O1184" s="512">
        <f t="shared" si="108"/>
        <v>0</v>
      </c>
      <c r="P1184" s="512">
        <f t="shared" si="109"/>
        <v>0</v>
      </c>
      <c r="Q1184" s="473"/>
    </row>
    <row r="1185" spans="3:17">
      <c r="C1185" s="508">
        <f>IF(D1128="","-",+C1184+1)</f>
        <v>2069</v>
      </c>
      <c r="D1185" s="471">
        <f t="shared" si="110"/>
        <v>0</v>
      </c>
      <c r="E1185" s="515">
        <f t="shared" si="111"/>
        <v>0</v>
      </c>
      <c r="F1185" s="515">
        <f t="shared" si="104"/>
        <v>0</v>
      </c>
      <c r="G1185" s="471">
        <f t="shared" si="105"/>
        <v>0</v>
      </c>
      <c r="H1185" s="509">
        <f>+J1129*G1185+E1185</f>
        <v>0</v>
      </c>
      <c r="I1185" s="516">
        <f>+J1130*G1185+E1185</f>
        <v>0</v>
      </c>
      <c r="J1185" s="512">
        <f t="shared" si="106"/>
        <v>0</v>
      </c>
      <c r="K1185" s="512"/>
      <c r="L1185" s="517"/>
      <c r="M1185" s="512">
        <f t="shared" si="107"/>
        <v>0</v>
      </c>
      <c r="N1185" s="517"/>
      <c r="O1185" s="512">
        <f t="shared" si="108"/>
        <v>0</v>
      </c>
      <c r="P1185" s="512">
        <f t="shared" si="109"/>
        <v>0</v>
      </c>
      <c r="Q1185" s="473"/>
    </row>
    <row r="1186" spans="3:17">
      <c r="C1186" s="508">
        <f>IF(D1128="","-",+C1185+1)</f>
        <v>2070</v>
      </c>
      <c r="D1186" s="471">
        <f t="shared" si="110"/>
        <v>0</v>
      </c>
      <c r="E1186" s="515">
        <f t="shared" si="111"/>
        <v>0</v>
      </c>
      <c r="F1186" s="515">
        <f t="shared" si="104"/>
        <v>0</v>
      </c>
      <c r="G1186" s="471">
        <f t="shared" si="105"/>
        <v>0</v>
      </c>
      <c r="H1186" s="509">
        <f>+J1129*G1186+E1186</f>
        <v>0</v>
      </c>
      <c r="I1186" s="516">
        <f>+J1130*G1186+E1186</f>
        <v>0</v>
      </c>
      <c r="J1186" s="512">
        <f t="shared" si="106"/>
        <v>0</v>
      </c>
      <c r="K1186" s="512"/>
      <c r="L1186" s="517"/>
      <c r="M1186" s="512">
        <f t="shared" si="107"/>
        <v>0</v>
      </c>
      <c r="N1186" s="517"/>
      <c r="O1186" s="512">
        <f t="shared" si="108"/>
        <v>0</v>
      </c>
      <c r="P1186" s="512">
        <f t="shared" si="109"/>
        <v>0</v>
      </c>
      <c r="Q1186" s="473"/>
    </row>
    <row r="1187" spans="3:17">
      <c r="C1187" s="508">
        <f>IF(D1128="","-",+C1186+1)</f>
        <v>2071</v>
      </c>
      <c r="D1187" s="471">
        <f t="shared" si="110"/>
        <v>0</v>
      </c>
      <c r="E1187" s="515">
        <f t="shared" si="111"/>
        <v>0</v>
      </c>
      <c r="F1187" s="515">
        <f t="shared" si="104"/>
        <v>0</v>
      </c>
      <c r="G1187" s="471">
        <f t="shared" si="105"/>
        <v>0</v>
      </c>
      <c r="H1187" s="509">
        <f>+J1129*G1187+E1187</f>
        <v>0</v>
      </c>
      <c r="I1187" s="516">
        <f>+J1130*G1187+E1187</f>
        <v>0</v>
      </c>
      <c r="J1187" s="512">
        <f t="shared" si="106"/>
        <v>0</v>
      </c>
      <c r="K1187" s="512"/>
      <c r="L1187" s="517"/>
      <c r="M1187" s="512">
        <f t="shared" si="107"/>
        <v>0</v>
      </c>
      <c r="N1187" s="517"/>
      <c r="O1187" s="512">
        <f t="shared" si="108"/>
        <v>0</v>
      </c>
      <c r="P1187" s="512">
        <f t="shared" si="109"/>
        <v>0</v>
      </c>
      <c r="Q1187" s="473"/>
    </row>
    <row r="1188" spans="3:17">
      <c r="C1188" s="508">
        <f>IF(D1128="","-",+C1187+1)</f>
        <v>2072</v>
      </c>
      <c r="D1188" s="471">
        <f t="shared" si="110"/>
        <v>0</v>
      </c>
      <c r="E1188" s="515">
        <f t="shared" si="111"/>
        <v>0</v>
      </c>
      <c r="F1188" s="515">
        <f t="shared" si="104"/>
        <v>0</v>
      </c>
      <c r="G1188" s="471">
        <f t="shared" si="105"/>
        <v>0</v>
      </c>
      <c r="H1188" s="509">
        <f>+J1129*G1188+E1188</f>
        <v>0</v>
      </c>
      <c r="I1188" s="516">
        <f>+J1130*G1188+E1188</f>
        <v>0</v>
      </c>
      <c r="J1188" s="512">
        <f t="shared" si="106"/>
        <v>0</v>
      </c>
      <c r="K1188" s="512"/>
      <c r="L1188" s="517"/>
      <c r="M1188" s="512">
        <f t="shared" si="107"/>
        <v>0</v>
      </c>
      <c r="N1188" s="517"/>
      <c r="O1188" s="512">
        <f t="shared" si="108"/>
        <v>0</v>
      </c>
      <c r="P1188" s="512">
        <f t="shared" si="109"/>
        <v>0</v>
      </c>
      <c r="Q1188" s="473"/>
    </row>
    <row r="1189" spans="3:17">
      <c r="C1189" s="508">
        <f>IF(D1128="","-",+C1188+1)</f>
        <v>2073</v>
      </c>
      <c r="D1189" s="471">
        <f t="shared" si="110"/>
        <v>0</v>
      </c>
      <c r="E1189" s="515">
        <f t="shared" si="111"/>
        <v>0</v>
      </c>
      <c r="F1189" s="515">
        <f t="shared" si="104"/>
        <v>0</v>
      </c>
      <c r="G1189" s="471">
        <f t="shared" si="105"/>
        <v>0</v>
      </c>
      <c r="H1189" s="509">
        <f>+J1129*G1189+E1189</f>
        <v>0</v>
      </c>
      <c r="I1189" s="516">
        <f>+J1130*G1189+E1189</f>
        <v>0</v>
      </c>
      <c r="J1189" s="512">
        <f t="shared" si="106"/>
        <v>0</v>
      </c>
      <c r="K1189" s="512"/>
      <c r="L1189" s="517"/>
      <c r="M1189" s="512">
        <f t="shared" si="107"/>
        <v>0</v>
      </c>
      <c r="N1189" s="517"/>
      <c r="O1189" s="512">
        <f t="shared" si="108"/>
        <v>0</v>
      </c>
      <c r="P1189" s="512">
        <f t="shared" si="109"/>
        <v>0</v>
      </c>
      <c r="Q1189" s="473"/>
    </row>
    <row r="1190" spans="3:17">
      <c r="C1190" s="508">
        <f>IF(D1128="","-",+C1189+1)</f>
        <v>2074</v>
      </c>
      <c r="D1190" s="471">
        <f t="shared" si="110"/>
        <v>0</v>
      </c>
      <c r="E1190" s="515">
        <f t="shared" si="111"/>
        <v>0</v>
      </c>
      <c r="F1190" s="515">
        <f t="shared" si="104"/>
        <v>0</v>
      </c>
      <c r="G1190" s="471">
        <f t="shared" si="105"/>
        <v>0</v>
      </c>
      <c r="H1190" s="509">
        <f>+J1129*G1190+E1190</f>
        <v>0</v>
      </c>
      <c r="I1190" s="516">
        <f>+J1130*G1190+E1190</f>
        <v>0</v>
      </c>
      <c r="J1190" s="512">
        <f t="shared" si="106"/>
        <v>0</v>
      </c>
      <c r="K1190" s="512"/>
      <c r="L1190" s="517"/>
      <c r="M1190" s="512">
        <f t="shared" si="107"/>
        <v>0</v>
      </c>
      <c r="N1190" s="517"/>
      <c r="O1190" s="512">
        <f t="shared" si="108"/>
        <v>0</v>
      </c>
      <c r="P1190" s="512">
        <f t="shared" si="109"/>
        <v>0</v>
      </c>
      <c r="Q1190" s="473"/>
    </row>
    <row r="1191" spans="3:17">
      <c r="C1191" s="508">
        <f>IF(D1128="","-",+C1190+1)</f>
        <v>2075</v>
      </c>
      <c r="D1191" s="471">
        <f t="shared" si="110"/>
        <v>0</v>
      </c>
      <c r="E1191" s="515">
        <f t="shared" si="111"/>
        <v>0</v>
      </c>
      <c r="F1191" s="515">
        <f t="shared" si="104"/>
        <v>0</v>
      </c>
      <c r="G1191" s="471">
        <f t="shared" si="105"/>
        <v>0</v>
      </c>
      <c r="H1191" s="509">
        <f>+J1129*G1191+E1191</f>
        <v>0</v>
      </c>
      <c r="I1191" s="516">
        <f>+J1130*G1191+E1191</f>
        <v>0</v>
      </c>
      <c r="J1191" s="512">
        <f t="shared" si="106"/>
        <v>0</v>
      </c>
      <c r="K1191" s="512"/>
      <c r="L1191" s="517"/>
      <c r="M1191" s="512">
        <f t="shared" si="107"/>
        <v>0</v>
      </c>
      <c r="N1191" s="517"/>
      <c r="O1191" s="512">
        <f t="shared" si="108"/>
        <v>0</v>
      </c>
      <c r="P1191" s="512">
        <f t="shared" si="109"/>
        <v>0</v>
      </c>
      <c r="Q1191" s="473"/>
    </row>
    <row r="1192" spans="3:17">
      <c r="C1192" s="508">
        <f>IF(D1128="","-",+C1191+1)</f>
        <v>2076</v>
      </c>
      <c r="D1192" s="471">
        <f t="shared" si="110"/>
        <v>0</v>
      </c>
      <c r="E1192" s="515">
        <f t="shared" si="111"/>
        <v>0</v>
      </c>
      <c r="F1192" s="515">
        <f t="shared" si="104"/>
        <v>0</v>
      </c>
      <c r="G1192" s="471">
        <f t="shared" si="105"/>
        <v>0</v>
      </c>
      <c r="H1192" s="509">
        <f>+J1129*G1192+E1192</f>
        <v>0</v>
      </c>
      <c r="I1192" s="516">
        <f>+J1130*G1192+E1192</f>
        <v>0</v>
      </c>
      <c r="J1192" s="512">
        <f t="shared" si="106"/>
        <v>0</v>
      </c>
      <c r="K1192" s="512"/>
      <c r="L1192" s="517"/>
      <c r="M1192" s="512">
        <f t="shared" si="107"/>
        <v>0</v>
      </c>
      <c r="N1192" s="517"/>
      <c r="O1192" s="512">
        <f t="shared" si="108"/>
        <v>0</v>
      </c>
      <c r="P1192" s="512">
        <f t="shared" si="109"/>
        <v>0</v>
      </c>
      <c r="Q1192" s="473"/>
    </row>
    <row r="1193" spans="3:17" ht="13.5" thickBot="1">
      <c r="C1193" s="520">
        <f>IF(D1128="","-",+C1192+1)</f>
        <v>2077</v>
      </c>
      <c r="D1193" s="521">
        <f t="shared" si="110"/>
        <v>0</v>
      </c>
      <c r="E1193" s="522">
        <f t="shared" si="111"/>
        <v>0</v>
      </c>
      <c r="F1193" s="522">
        <f t="shared" si="104"/>
        <v>0</v>
      </c>
      <c r="G1193" s="521">
        <f t="shared" si="105"/>
        <v>0</v>
      </c>
      <c r="H1193" s="523">
        <f>+J1129*G1193+E1193</f>
        <v>0</v>
      </c>
      <c r="I1193" s="523">
        <f>+J1130*G1193+E1193</f>
        <v>0</v>
      </c>
      <c r="J1193" s="524">
        <f t="shared" si="106"/>
        <v>0</v>
      </c>
      <c r="K1193" s="512"/>
      <c r="L1193" s="525"/>
      <c r="M1193" s="524">
        <f t="shared" si="107"/>
        <v>0</v>
      </c>
      <c r="N1193" s="525"/>
      <c r="O1193" s="524">
        <f t="shared" si="108"/>
        <v>0</v>
      </c>
      <c r="P1193" s="524">
        <f t="shared" si="109"/>
        <v>0</v>
      </c>
      <c r="Q1193" s="473"/>
    </row>
    <row r="1194" spans="3:17">
      <c r="C1194" s="471" t="s">
        <v>288</v>
      </c>
      <c r="D1194" s="469"/>
      <c r="E1194" s="469">
        <f>SUM(E1134:E1193)</f>
        <v>69840538.590000004</v>
      </c>
      <c r="F1194" s="469"/>
      <c r="G1194" s="469"/>
      <c r="H1194" s="469">
        <f>SUM(H1134:H1193)</f>
        <v>237847978.3776204</v>
      </c>
      <c r="I1194" s="469">
        <f>SUM(I1134:I1193)</f>
        <v>237847978.3776204</v>
      </c>
      <c r="J1194" s="469">
        <f>SUM(J1134:J1193)</f>
        <v>0</v>
      </c>
      <c r="K1194" s="469"/>
      <c r="L1194" s="469"/>
      <c r="M1194" s="469"/>
      <c r="N1194" s="469"/>
      <c r="O1194" s="469"/>
      <c r="Q1194" s="469"/>
    </row>
    <row r="1195" spans="3:17">
      <c r="D1195" s="78"/>
      <c r="E1195" s="4"/>
      <c r="F1195" s="4"/>
      <c r="G1195" s="4"/>
      <c r="H1195" s="4"/>
      <c r="I1195" s="454"/>
      <c r="J1195" s="454"/>
      <c r="K1195" s="469"/>
      <c r="L1195" s="454"/>
      <c r="M1195" s="454"/>
      <c r="N1195" s="454"/>
      <c r="O1195" s="454"/>
      <c r="Q1195" s="469"/>
    </row>
    <row r="1196" spans="3:17">
      <c r="C1196" s="4" t="s">
        <v>600</v>
      </c>
      <c r="D1196" s="78"/>
      <c r="E1196" s="4"/>
      <c r="F1196" s="4"/>
      <c r="G1196" s="4"/>
      <c r="H1196" s="4"/>
      <c r="I1196" s="454"/>
      <c r="J1196" s="454"/>
      <c r="K1196" s="469"/>
      <c r="L1196" s="454"/>
      <c r="M1196" s="454"/>
      <c r="N1196" s="454"/>
      <c r="O1196" s="454"/>
      <c r="Q1196" s="469"/>
    </row>
    <row r="1197" spans="3:17">
      <c r="D1197" s="78"/>
      <c r="E1197" s="4"/>
      <c r="F1197" s="4"/>
      <c r="G1197" s="4"/>
      <c r="H1197" s="4"/>
      <c r="I1197" s="454"/>
      <c r="J1197" s="454"/>
      <c r="K1197" s="469"/>
      <c r="L1197" s="454"/>
      <c r="M1197" s="454"/>
      <c r="N1197" s="454"/>
      <c r="O1197" s="454"/>
      <c r="Q1197" s="469"/>
    </row>
    <row r="1198" spans="3:17">
      <c r="C1198" s="4" t="s">
        <v>601</v>
      </c>
      <c r="D1198" s="471"/>
      <c r="E1198" s="471"/>
      <c r="F1198" s="471"/>
      <c r="G1198" s="471"/>
      <c r="H1198" s="469"/>
      <c r="I1198" s="469"/>
      <c r="J1198" s="473"/>
      <c r="K1198" s="473"/>
      <c r="L1198" s="473"/>
      <c r="M1198" s="473"/>
      <c r="N1198" s="473"/>
      <c r="O1198" s="473"/>
      <c r="Q1198" s="473"/>
    </row>
    <row r="1199" spans="3:17">
      <c r="C1199" s="4" t="s">
        <v>476</v>
      </c>
      <c r="D1199" s="471"/>
      <c r="E1199" s="471"/>
      <c r="F1199" s="471"/>
      <c r="G1199" s="471"/>
      <c r="H1199" s="469"/>
      <c r="I1199" s="469"/>
      <c r="J1199" s="473"/>
      <c r="K1199" s="473"/>
      <c r="L1199" s="473"/>
      <c r="M1199" s="473"/>
      <c r="N1199" s="473"/>
      <c r="O1199" s="473"/>
      <c r="Q1199" s="473"/>
    </row>
    <row r="1200" spans="3:17">
      <c r="C1200" s="4" t="s">
        <v>289</v>
      </c>
      <c r="D1200" s="471"/>
      <c r="E1200" s="471"/>
      <c r="F1200" s="471"/>
      <c r="G1200" s="471"/>
      <c r="H1200" s="469"/>
      <c r="I1200" s="469"/>
      <c r="J1200" s="473"/>
      <c r="K1200" s="473"/>
      <c r="L1200" s="473"/>
      <c r="M1200" s="473"/>
      <c r="N1200" s="473"/>
      <c r="O1200" s="473"/>
      <c r="Q1200" s="473"/>
    </row>
    <row r="1201" spans="1:17">
      <c r="C1201" s="4"/>
      <c r="D1201" s="471"/>
      <c r="E1201" s="471"/>
      <c r="F1201" s="471"/>
      <c r="G1201" s="471"/>
      <c r="H1201" s="469"/>
      <c r="I1201" s="469"/>
      <c r="J1201" s="473"/>
      <c r="K1201" s="473"/>
      <c r="L1201" s="473"/>
      <c r="M1201" s="473"/>
      <c r="N1201" s="473"/>
      <c r="O1201" s="473"/>
      <c r="Q1201" s="473"/>
    </row>
    <row r="1202" spans="1:17" ht="20.25">
      <c r="A1202" s="413" t="s">
        <v>767</v>
      </c>
      <c r="B1202" s="4"/>
      <c r="C1202" s="4"/>
      <c r="D1202" s="78"/>
      <c r="E1202" s="4"/>
      <c r="F1202" s="80"/>
      <c r="G1202" s="80"/>
      <c r="H1202" s="4"/>
      <c r="I1202" s="454"/>
      <c r="L1202" s="11"/>
      <c r="M1202" s="11"/>
      <c r="N1202" s="11"/>
      <c r="O1202" s="11" t="str">
        <f>"Page "&amp;SUM(Q$3:Q1202)&amp;" of "</f>
        <v xml:space="preserve">Page 15 of </v>
      </c>
      <c r="P1202" s="414">
        <f>COUNT(Q$8:Q$58123)</f>
        <v>16</v>
      </c>
      <c r="Q1202" s="544">
        <v>1</v>
      </c>
    </row>
    <row r="1203" spans="1:17">
      <c r="B1203" s="4"/>
      <c r="C1203" s="4"/>
      <c r="D1203" s="78"/>
      <c r="E1203" s="4"/>
      <c r="F1203" s="4"/>
      <c r="G1203" s="4"/>
      <c r="H1203" s="4"/>
      <c r="I1203" s="454"/>
      <c r="J1203" s="4"/>
      <c r="K1203" s="4"/>
    </row>
    <row r="1204" spans="1:17" ht="18">
      <c r="B1204" s="415" t="s">
        <v>174</v>
      </c>
      <c r="C1204" s="474" t="s">
        <v>290</v>
      </c>
      <c r="D1204" s="78"/>
      <c r="E1204" s="4"/>
      <c r="F1204" s="4"/>
      <c r="G1204" s="4"/>
      <c r="H1204" s="4"/>
      <c r="I1204" s="454"/>
      <c r="J1204" s="454"/>
      <c r="K1204" s="469"/>
      <c r="L1204" s="454"/>
      <c r="M1204" s="454"/>
      <c r="N1204" s="454"/>
      <c r="O1204" s="454"/>
      <c r="Q1204" s="469"/>
    </row>
    <row r="1205" spans="1:17" ht="18.75">
      <c r="B1205" s="415"/>
      <c r="C1205" s="13"/>
      <c r="D1205" s="78"/>
      <c r="E1205" s="4"/>
      <c r="F1205" s="4"/>
      <c r="G1205" s="4"/>
      <c r="H1205" s="4"/>
      <c r="I1205" s="454"/>
      <c r="J1205" s="454"/>
      <c r="K1205" s="469"/>
      <c r="L1205" s="454"/>
      <c r="M1205" s="454"/>
      <c r="N1205" s="454"/>
      <c r="O1205" s="454"/>
      <c r="Q1205" s="469"/>
    </row>
    <row r="1206" spans="1:17" ht="18.75">
      <c r="B1206" s="415"/>
      <c r="C1206" s="13" t="s">
        <v>291</v>
      </c>
      <c r="D1206" s="78"/>
      <c r="E1206" s="4"/>
      <c r="F1206" s="4"/>
      <c r="G1206" s="4"/>
      <c r="H1206" s="4"/>
      <c r="I1206" s="454"/>
      <c r="J1206" s="454"/>
      <c r="K1206" s="469"/>
      <c r="L1206" s="454"/>
      <c r="M1206" s="454"/>
      <c r="N1206" s="454"/>
      <c r="O1206" s="454"/>
      <c r="Q1206" s="469"/>
    </row>
    <row r="1207" spans="1:17" ht="15.75" thickBot="1">
      <c r="C1207" s="250"/>
      <c r="D1207" s="78"/>
      <c r="E1207" s="4"/>
      <c r="F1207" s="4"/>
      <c r="G1207" s="4"/>
      <c r="H1207" s="4"/>
      <c r="I1207" s="454"/>
      <c r="J1207" s="454"/>
      <c r="K1207" s="469"/>
      <c r="L1207" s="454"/>
      <c r="M1207" s="454"/>
      <c r="N1207" s="454"/>
      <c r="O1207" s="454"/>
      <c r="Q1207" s="469"/>
    </row>
    <row r="1208" spans="1:17" ht="15.75">
      <c r="C1208" s="416" t="s">
        <v>292</v>
      </c>
      <c r="D1208" s="78"/>
      <c r="E1208" s="4"/>
      <c r="F1208" s="4"/>
      <c r="G1208" s="4"/>
      <c r="H1208" s="642"/>
      <c r="I1208" s="4" t="s">
        <v>271</v>
      </c>
      <c r="J1208" s="4"/>
      <c r="K1208" s="4"/>
      <c r="L1208" s="545">
        <f>+J1214</f>
        <v>2025</v>
      </c>
      <c r="M1208" s="529" t="s">
        <v>254</v>
      </c>
      <c r="N1208" s="529" t="s">
        <v>255</v>
      </c>
      <c r="O1208" s="530" t="s">
        <v>256</v>
      </c>
    </row>
    <row r="1209" spans="1:17" ht="15.75">
      <c r="C1209" s="416"/>
      <c r="D1209" s="78"/>
      <c r="E1209" s="4"/>
      <c r="F1209" s="4"/>
      <c r="H1209" s="4"/>
      <c r="I1209" s="478"/>
      <c r="J1209" s="478"/>
      <c r="K1209" s="479"/>
      <c r="L1209" s="546" t="s">
        <v>455</v>
      </c>
      <c r="M1209" s="547">
        <f>VLOOKUP(J1214,C1221:P1280,10)</f>
        <v>78765.545497418003</v>
      </c>
      <c r="N1209" s="547">
        <f>VLOOKUP(J1214,C1221:P1280,12)</f>
        <v>78765.545497418003</v>
      </c>
      <c r="O1209" s="548">
        <f>+N1209-M1209</f>
        <v>0</v>
      </c>
      <c r="Q1209" s="479"/>
    </row>
    <row r="1210" spans="1:17">
      <c r="C1210" s="481" t="s">
        <v>293</v>
      </c>
      <c r="D1210" s="1304" t="s">
        <v>957</v>
      </c>
      <c r="E1210" s="1304"/>
      <c r="F1210" s="1304"/>
      <c r="G1210" s="1304"/>
      <c r="H1210" s="1304"/>
      <c r="I1210" s="454"/>
      <c r="J1210" s="454"/>
      <c r="K1210" s="469"/>
      <c r="L1210" s="546" t="s">
        <v>456</v>
      </c>
      <c r="M1210" s="549">
        <f>VLOOKUP(J1214,C1221:P1280,6)</f>
        <v>80685.723173898557</v>
      </c>
      <c r="N1210" s="549">
        <f>VLOOKUP(J1214,C1221:P1280,7)</f>
        <v>80685.723173898557</v>
      </c>
      <c r="O1210" s="550">
        <f>+N1210-M1210</f>
        <v>0</v>
      </c>
      <c r="Q1210" s="469"/>
    </row>
    <row r="1211" spans="1:17" ht="13.5" thickBot="1">
      <c r="C1211" s="483"/>
      <c r="D1211" s="484"/>
      <c r="E1211" s="471"/>
      <c r="F1211" s="471"/>
      <c r="G1211" s="471"/>
      <c r="H1211" s="485"/>
      <c r="I1211" s="454"/>
      <c r="J1211" s="454"/>
      <c r="K1211" s="469"/>
      <c r="L1211" s="495" t="s">
        <v>457</v>
      </c>
      <c r="M1211" s="551">
        <f>+M1210-M1209</f>
        <v>1920.1776764805545</v>
      </c>
      <c r="N1211" s="551">
        <f>+N1210-N1209</f>
        <v>1920.1776764805545</v>
      </c>
      <c r="O1211" s="552">
        <f>+O1210-O1209</f>
        <v>0</v>
      </c>
      <c r="Q1211" s="469"/>
    </row>
    <row r="1212" spans="1:17" ht="13.5" thickBot="1">
      <c r="C1212" s="483"/>
      <c r="D1212" s="4"/>
      <c r="E1212" s="485"/>
      <c r="F1212" s="485"/>
      <c r="G1212" s="485"/>
      <c r="H1212" s="485"/>
      <c r="I1212" s="485"/>
      <c r="J1212" s="485"/>
      <c r="K1212" s="485"/>
      <c r="L1212" s="485"/>
      <c r="M1212" s="485"/>
      <c r="N1212" s="485"/>
      <c r="O1212" s="485"/>
      <c r="Q1212" s="485"/>
    </row>
    <row r="1213" spans="1:17" ht="13.5" thickBot="1">
      <c r="C1213" s="487" t="s">
        <v>294</v>
      </c>
      <c r="D1213" s="488"/>
      <c r="E1213" s="488"/>
      <c r="F1213" s="488"/>
      <c r="G1213" s="488"/>
      <c r="H1213" s="488"/>
      <c r="I1213" s="488"/>
      <c r="J1213" s="488"/>
      <c r="Q1213"/>
    </row>
    <row r="1214" spans="1:17" ht="15">
      <c r="A1214" s="486"/>
      <c r="C1214" s="490" t="s">
        <v>272</v>
      </c>
      <c r="D1214" s="941">
        <v>705824.57000000007</v>
      </c>
      <c r="E1214" s="4" t="s">
        <v>273</v>
      </c>
      <c r="H1214" s="78"/>
      <c r="I1214" s="78"/>
      <c r="J1214" s="491">
        <f>$J$95</f>
        <v>2025</v>
      </c>
      <c r="K1214" s="134"/>
      <c r="L1214" s="1305" t="s">
        <v>274</v>
      </c>
      <c r="M1214" s="1305"/>
      <c r="N1214" s="1305"/>
      <c r="O1214" s="1305"/>
      <c r="Q1214" s="134"/>
    </row>
    <row r="1215" spans="1:17">
      <c r="A1215" s="486"/>
      <c r="C1215" s="490" t="s">
        <v>275</v>
      </c>
      <c r="D1215" s="644">
        <v>2017</v>
      </c>
      <c r="E1215" s="490" t="s">
        <v>276</v>
      </c>
      <c r="F1215" s="78"/>
      <c r="G1215" s="78"/>
      <c r="I1215"/>
      <c r="J1215" s="647">
        <v>0</v>
      </c>
      <c r="K1215" s="492"/>
      <c r="L1215" s="469" t="s">
        <v>475</v>
      </c>
      <c r="Q1215" s="492"/>
    </row>
    <row r="1216" spans="1:17">
      <c r="A1216" s="486"/>
      <c r="C1216" s="490" t="s">
        <v>277</v>
      </c>
      <c r="D1216" s="942">
        <v>12</v>
      </c>
      <c r="E1216" s="490" t="s">
        <v>278</v>
      </c>
      <c r="F1216" s="78"/>
      <c r="G1216" s="78"/>
      <c r="I1216"/>
      <c r="J1216" s="493">
        <f>$F$70</f>
        <v>0.11017952320434825</v>
      </c>
      <c r="K1216" s="80"/>
      <c r="L1216" s="4" t="str">
        <f>"          INPUT TRUE-UP ARR (WITH &amp; WITHOUT INCENTIVES) FROM EACH PRIOR YEAR"</f>
        <v xml:space="preserve">          INPUT TRUE-UP ARR (WITH &amp; WITHOUT INCENTIVES) FROM EACH PRIOR YEAR</v>
      </c>
      <c r="Q1216" s="80"/>
    </row>
    <row r="1217" spans="1:17">
      <c r="A1217" s="486"/>
      <c r="C1217" s="490" t="s">
        <v>279</v>
      </c>
      <c r="D1217" s="494">
        <f>H79</f>
        <v>42</v>
      </c>
      <c r="E1217" s="490" t="s">
        <v>280</v>
      </c>
      <c r="F1217" s="78"/>
      <c r="G1217" s="78"/>
      <c r="I1217"/>
      <c r="J1217" s="493">
        <f>IF(H1208="",J1216,$F$69)</f>
        <v>0.11017952320434825</v>
      </c>
      <c r="K1217" s="80"/>
      <c r="L1217" s="4" t="s">
        <v>362</v>
      </c>
      <c r="M1217" s="80"/>
      <c r="N1217" s="80"/>
      <c r="O1217" s="80"/>
      <c r="Q1217" s="80"/>
    </row>
    <row r="1218" spans="1:17" ht="13.5" thickBot="1">
      <c r="A1218" s="486"/>
      <c r="C1218" s="490" t="s">
        <v>281</v>
      </c>
      <c r="D1218" s="646" t="s">
        <v>929</v>
      </c>
      <c r="E1218" s="495" t="s">
        <v>282</v>
      </c>
      <c r="F1218" s="496"/>
      <c r="G1218" s="496"/>
      <c r="H1218" s="497"/>
      <c r="I1218" s="497"/>
      <c r="J1218" s="482">
        <f>IF(D1214=0,0,D1214/D1217)</f>
        <v>16805.346904761907</v>
      </c>
      <c r="K1218" s="469"/>
      <c r="L1218" s="469" t="s">
        <v>363</v>
      </c>
      <c r="M1218" s="469"/>
      <c r="N1218" s="469"/>
      <c r="O1218" s="469"/>
      <c r="Q1218" s="469"/>
    </row>
    <row r="1219" spans="1:17" ht="38.25">
      <c r="A1219" s="12"/>
      <c r="B1219" s="12"/>
      <c r="C1219" s="498" t="s">
        <v>272</v>
      </c>
      <c r="D1219" s="499" t="s">
        <v>283</v>
      </c>
      <c r="E1219" s="500" t="s">
        <v>284</v>
      </c>
      <c r="F1219" s="499" t="s">
        <v>285</v>
      </c>
      <c r="G1219" s="499" t="s">
        <v>458</v>
      </c>
      <c r="H1219" s="500" t="s">
        <v>356</v>
      </c>
      <c r="I1219" s="501" t="s">
        <v>356</v>
      </c>
      <c r="J1219" s="498" t="s">
        <v>295</v>
      </c>
      <c r="K1219" s="502"/>
      <c r="L1219" s="500" t="s">
        <v>358</v>
      </c>
      <c r="M1219" s="500" t="s">
        <v>364</v>
      </c>
      <c r="N1219" s="500" t="s">
        <v>358</v>
      </c>
      <c r="O1219" s="500" t="s">
        <v>366</v>
      </c>
      <c r="P1219" s="500" t="s">
        <v>286</v>
      </c>
      <c r="Q1219" s="127"/>
    </row>
    <row r="1220" spans="1:17" ht="13.5" thickBot="1">
      <c r="C1220" s="503" t="s">
        <v>177</v>
      </c>
      <c r="D1220" s="504" t="s">
        <v>178</v>
      </c>
      <c r="E1220" s="503" t="s">
        <v>37</v>
      </c>
      <c r="F1220" s="504" t="s">
        <v>178</v>
      </c>
      <c r="G1220" s="504" t="s">
        <v>178</v>
      </c>
      <c r="H1220" s="505" t="s">
        <v>298</v>
      </c>
      <c r="I1220" s="506" t="s">
        <v>300</v>
      </c>
      <c r="J1220" s="503" t="s">
        <v>389</v>
      </c>
      <c r="K1220" s="507"/>
      <c r="L1220" s="505" t="s">
        <v>287</v>
      </c>
      <c r="M1220" s="505" t="s">
        <v>287</v>
      </c>
      <c r="N1220" s="505" t="s">
        <v>467</v>
      </c>
      <c r="O1220" s="505" t="s">
        <v>467</v>
      </c>
      <c r="P1220" s="505" t="s">
        <v>467</v>
      </c>
      <c r="Q1220" s="134"/>
    </row>
    <row r="1221" spans="1:17">
      <c r="C1221" s="508">
        <f>IF(D1215= "","-",D1215)</f>
        <v>2017</v>
      </c>
      <c r="D1221" s="955">
        <f>+D1214</f>
        <v>705824.57000000007</v>
      </c>
      <c r="E1221" s="509">
        <f>+J1218/12*(12-D1216)</f>
        <v>0</v>
      </c>
      <c r="F1221" s="553">
        <f t="shared" ref="F1221:F1280" si="112">+D1221-E1221</f>
        <v>705824.57000000007</v>
      </c>
      <c r="G1221" s="471">
        <f t="shared" ref="G1221:G1280" si="113">+(D1221+F1221)/2</f>
        <v>705824.57000000007</v>
      </c>
      <c r="H1221" s="510">
        <f>+J1216*G1221+E1221</f>
        <v>77767.414588514133</v>
      </c>
      <c r="I1221" s="511">
        <f>+J1217*G1221+E1221</f>
        <v>77767.414588514133</v>
      </c>
      <c r="J1221" s="512">
        <f t="shared" ref="J1221:J1280" si="114">+I1221-H1221</f>
        <v>0</v>
      </c>
      <c r="K1221" s="512"/>
      <c r="L1221" s="513">
        <v>0</v>
      </c>
      <c r="M1221" s="554">
        <f t="shared" ref="M1221:M1280" si="115">IF(L1221&lt;&gt;0,+H1221-L1221,0)</f>
        <v>0</v>
      </c>
      <c r="N1221" s="513">
        <v>0</v>
      </c>
      <c r="O1221" s="554">
        <f t="shared" ref="O1221:O1280" si="116">IF(N1221&lt;&gt;0,+I1221-N1221,0)</f>
        <v>0</v>
      </c>
      <c r="P1221" s="554">
        <f t="shared" ref="P1221:P1280" si="117">+O1221-M1221</f>
        <v>0</v>
      </c>
      <c r="Q1221" s="473"/>
    </row>
    <row r="1222" spans="1:17">
      <c r="C1222" s="508">
        <f>IF(D1215="","-",+C1221+1)</f>
        <v>2018</v>
      </c>
      <c r="D1222" s="471">
        <f t="shared" ref="D1222:D1280" si="118">F1221</f>
        <v>705824.57000000007</v>
      </c>
      <c r="E1222" s="515">
        <f>IF(D1222&gt;$J$1218,$J$1218,D1222)</f>
        <v>16805.346904761907</v>
      </c>
      <c r="F1222" s="515">
        <f t="shared" si="112"/>
        <v>689019.22309523821</v>
      </c>
      <c r="G1222" s="471">
        <f t="shared" si="113"/>
        <v>697421.89654761914</v>
      </c>
      <c r="H1222" s="509">
        <f>+J1216*G1222+E1222</f>
        <v>93646.958938650874</v>
      </c>
      <c r="I1222" s="516">
        <f>+J1217*G1222+E1222</f>
        <v>93646.958938650874</v>
      </c>
      <c r="J1222" s="512">
        <f t="shared" si="114"/>
        <v>0</v>
      </c>
      <c r="K1222" s="512"/>
      <c r="L1222" s="517">
        <v>0</v>
      </c>
      <c r="M1222" s="512">
        <f t="shared" si="115"/>
        <v>0</v>
      </c>
      <c r="N1222" s="517">
        <v>0</v>
      </c>
      <c r="O1222" s="512">
        <f t="shared" si="116"/>
        <v>0</v>
      </c>
      <c r="P1222" s="512">
        <f t="shared" si="117"/>
        <v>0</v>
      </c>
      <c r="Q1222" s="473"/>
    </row>
    <row r="1223" spans="1:17">
      <c r="C1223" s="508">
        <f>IF(D1215="","-",+C1222+1)</f>
        <v>2019</v>
      </c>
      <c r="D1223" s="955">
        <f t="shared" si="118"/>
        <v>689019.22309523821</v>
      </c>
      <c r="E1223" s="515">
        <f t="shared" ref="E1223:E1280" si="119">IF(D1223&gt;$J$1218,$J$1218,D1223)</f>
        <v>16805.346904761907</v>
      </c>
      <c r="F1223" s="515">
        <f t="shared" si="112"/>
        <v>672213.87619047635</v>
      </c>
      <c r="G1223" s="471">
        <f t="shared" si="113"/>
        <v>680616.54964285728</v>
      </c>
      <c r="H1223" s="509">
        <f>+J1216*G1223+E1223</f>
        <v>91795.353829400556</v>
      </c>
      <c r="I1223" s="516">
        <f>+J1217*G1223+E1223</f>
        <v>91795.353829400556</v>
      </c>
      <c r="J1223" s="512">
        <f t="shared" si="114"/>
        <v>0</v>
      </c>
      <c r="K1223" s="512"/>
      <c r="L1223" s="517">
        <v>86230</v>
      </c>
      <c r="M1223" s="512">
        <f t="shared" si="115"/>
        <v>5565.3538294005557</v>
      </c>
      <c r="N1223" s="517">
        <v>86230</v>
      </c>
      <c r="O1223" s="512">
        <f t="shared" si="116"/>
        <v>5565.3538294005557</v>
      </c>
      <c r="P1223" s="512">
        <f t="shared" si="117"/>
        <v>0</v>
      </c>
      <c r="Q1223" s="473"/>
    </row>
    <row r="1224" spans="1:17">
      <c r="C1224" s="508">
        <f>IF(D1215="","-",+C1223+1)</f>
        <v>2020</v>
      </c>
      <c r="D1224" s="955">
        <f t="shared" si="118"/>
        <v>672213.87619047635</v>
      </c>
      <c r="E1224" s="515">
        <f t="shared" si="119"/>
        <v>16805.346904761907</v>
      </c>
      <c r="F1224" s="515">
        <f t="shared" si="112"/>
        <v>655408.5292857145</v>
      </c>
      <c r="G1224" s="471">
        <f t="shared" si="113"/>
        <v>663811.20273809542</v>
      </c>
      <c r="H1224" s="509">
        <f>+J1216*G1224+E1224</f>
        <v>89943.748720150208</v>
      </c>
      <c r="I1224" s="516">
        <f>+J1217*G1224+E1224</f>
        <v>89943.748720150208</v>
      </c>
      <c r="J1224" s="512">
        <f t="shared" si="114"/>
        <v>0</v>
      </c>
      <c r="K1224" s="512"/>
      <c r="L1224" s="517">
        <v>82029.058144338895</v>
      </c>
      <c r="M1224" s="512">
        <f t="shared" si="115"/>
        <v>7914.6905758113135</v>
      </c>
      <c r="N1224" s="517">
        <v>82029.058144338895</v>
      </c>
      <c r="O1224" s="512">
        <f t="shared" si="116"/>
        <v>7914.6905758113135</v>
      </c>
      <c r="P1224" s="512">
        <f t="shared" si="117"/>
        <v>0</v>
      </c>
      <c r="Q1224" s="473"/>
    </row>
    <row r="1225" spans="1:17">
      <c r="C1225" s="508">
        <f>IF(D1215="","-",+C1224+1)</f>
        <v>2021</v>
      </c>
      <c r="D1225" s="955">
        <f t="shared" si="118"/>
        <v>655408.5292857145</v>
      </c>
      <c r="E1225" s="515">
        <f t="shared" si="119"/>
        <v>16805.346904761907</v>
      </c>
      <c r="F1225" s="515">
        <f t="shared" si="112"/>
        <v>638603.18238095264</v>
      </c>
      <c r="G1225" s="471">
        <f t="shared" si="113"/>
        <v>647005.85583333357</v>
      </c>
      <c r="H1225" s="509">
        <f>+J1216*G1225+E1225</f>
        <v>88092.14361089989</v>
      </c>
      <c r="I1225" s="516">
        <f>+J1217*G1225+E1225</f>
        <v>88092.14361089989</v>
      </c>
      <c r="J1225" s="512">
        <f t="shared" si="114"/>
        <v>0</v>
      </c>
      <c r="K1225" s="512"/>
      <c r="L1225" s="517">
        <v>81169.694737356709</v>
      </c>
      <c r="M1225" s="512">
        <f t="shared" si="115"/>
        <v>6922.4488735431805</v>
      </c>
      <c r="N1225" s="517">
        <v>81169.694737356709</v>
      </c>
      <c r="O1225" s="512">
        <f t="shared" si="116"/>
        <v>6922.4488735431805</v>
      </c>
      <c r="P1225" s="512">
        <f t="shared" si="117"/>
        <v>0</v>
      </c>
      <c r="Q1225" s="473"/>
    </row>
    <row r="1226" spans="1:17">
      <c r="C1226" s="508">
        <f>IF(D1215="","-",+C1225+1)</f>
        <v>2022</v>
      </c>
      <c r="D1226" s="471">
        <f t="shared" si="118"/>
        <v>638603.18238095264</v>
      </c>
      <c r="E1226" s="515">
        <f t="shared" si="119"/>
        <v>16805.346904761907</v>
      </c>
      <c r="F1226" s="515">
        <f t="shared" si="112"/>
        <v>621797.83547619078</v>
      </c>
      <c r="G1226" s="471">
        <f t="shared" si="113"/>
        <v>630200.50892857171</v>
      </c>
      <c r="H1226" s="509">
        <f>+J1216*G1226+E1226</f>
        <v>86240.538501649542</v>
      </c>
      <c r="I1226" s="516">
        <f>+J1217*G1226+E1226</f>
        <v>86240.538501649542</v>
      </c>
      <c r="J1226" s="512">
        <f t="shared" si="114"/>
        <v>0</v>
      </c>
      <c r="K1226" s="512"/>
      <c r="L1226" s="517">
        <v>80241.319447809365</v>
      </c>
      <c r="M1226" s="512">
        <f t="shared" si="115"/>
        <v>5999.2190538401774</v>
      </c>
      <c r="N1226" s="517">
        <v>80241.319447809365</v>
      </c>
      <c r="O1226" s="512">
        <f t="shared" si="116"/>
        <v>5999.2190538401774</v>
      </c>
      <c r="P1226" s="512">
        <f t="shared" si="117"/>
        <v>0</v>
      </c>
      <c r="Q1226" s="473"/>
    </row>
    <row r="1227" spans="1:17">
      <c r="C1227" s="508">
        <f>IF(D1215="","-",+C1226+1)</f>
        <v>2023</v>
      </c>
      <c r="D1227" s="471">
        <f t="shared" si="118"/>
        <v>621797.83547619078</v>
      </c>
      <c r="E1227" s="515">
        <f t="shared" si="119"/>
        <v>16805.346904761907</v>
      </c>
      <c r="F1227" s="515">
        <f t="shared" si="112"/>
        <v>604992.48857142893</v>
      </c>
      <c r="G1227" s="471">
        <f t="shared" si="113"/>
        <v>613395.16202380985</v>
      </c>
      <c r="H1227" s="509">
        <f>+J1216*G1227+E1227</f>
        <v>84388.933392399224</v>
      </c>
      <c r="I1227" s="516">
        <f>+J1217*G1227+E1227</f>
        <v>84388.933392399224</v>
      </c>
      <c r="J1227" s="512">
        <f t="shared" si="114"/>
        <v>0</v>
      </c>
      <c r="K1227" s="512"/>
      <c r="L1227" s="517">
        <v>83069.401191601428</v>
      </c>
      <c r="M1227" s="512">
        <f t="shared" si="115"/>
        <v>1319.5322007977957</v>
      </c>
      <c r="N1227" s="517">
        <v>83069.401191601428</v>
      </c>
      <c r="O1227" s="512">
        <f t="shared" si="116"/>
        <v>1319.5322007977957</v>
      </c>
      <c r="P1227" s="512">
        <f t="shared" si="117"/>
        <v>0</v>
      </c>
      <c r="Q1227" s="473"/>
    </row>
    <row r="1228" spans="1:17">
      <c r="C1228" s="508">
        <f>IF(D1215="","-",+C1227+1)</f>
        <v>2024</v>
      </c>
      <c r="D1228" s="471">
        <f t="shared" si="118"/>
        <v>604992.48857142893</v>
      </c>
      <c r="E1228" s="515">
        <f t="shared" si="119"/>
        <v>16805.346904761907</v>
      </c>
      <c r="F1228" s="515">
        <f t="shared" si="112"/>
        <v>588187.14166666707</v>
      </c>
      <c r="G1228" s="471">
        <f t="shared" si="113"/>
        <v>596589.815119048</v>
      </c>
      <c r="H1228" s="509">
        <f>+J1216*G1228+E1228</f>
        <v>82537.328283148876</v>
      </c>
      <c r="I1228" s="516">
        <f>+J1217*G1228+E1228</f>
        <v>82537.328283148876</v>
      </c>
      <c r="J1228" s="512">
        <f t="shared" si="114"/>
        <v>0</v>
      </c>
      <c r="K1228" s="512"/>
      <c r="L1228" s="517">
        <v>80313.315254780784</v>
      </c>
      <c r="M1228" s="512">
        <f t="shared" si="115"/>
        <v>2224.0130283680919</v>
      </c>
      <c r="N1228" s="517">
        <v>80313.315254780784</v>
      </c>
      <c r="O1228" s="512">
        <f t="shared" si="116"/>
        <v>2224.0130283680919</v>
      </c>
      <c r="P1228" s="512">
        <f t="shared" si="117"/>
        <v>0</v>
      </c>
      <c r="Q1228" s="473"/>
    </row>
    <row r="1229" spans="1:17">
      <c r="C1229" s="508">
        <f>IF(D1215="","-",+C1228+1)</f>
        <v>2025</v>
      </c>
      <c r="D1229" s="471">
        <f t="shared" si="118"/>
        <v>588187.14166666707</v>
      </c>
      <c r="E1229" s="515">
        <f t="shared" si="119"/>
        <v>16805.346904761907</v>
      </c>
      <c r="F1229" s="515">
        <f t="shared" si="112"/>
        <v>571381.79476190521</v>
      </c>
      <c r="G1229" s="471">
        <f t="shared" si="113"/>
        <v>579784.46821428614</v>
      </c>
      <c r="H1229" s="509">
        <f>+J1216*G1229+E1229</f>
        <v>80685.723173898557</v>
      </c>
      <c r="I1229" s="516">
        <f>+J1217*G1229+E1229</f>
        <v>80685.723173898557</v>
      </c>
      <c r="J1229" s="512">
        <f t="shared" si="114"/>
        <v>0</v>
      </c>
      <c r="K1229" s="512"/>
      <c r="L1229" s="517">
        <v>78765.545497418003</v>
      </c>
      <c r="M1229" s="512">
        <f t="shared" si="115"/>
        <v>1920.1776764805545</v>
      </c>
      <c r="N1229" s="517">
        <v>78765.545497418003</v>
      </c>
      <c r="O1229" s="512">
        <f t="shared" si="116"/>
        <v>1920.1776764805545</v>
      </c>
      <c r="P1229" s="512">
        <f t="shared" si="117"/>
        <v>0</v>
      </c>
      <c r="Q1229" s="473"/>
    </row>
    <row r="1230" spans="1:17">
      <c r="C1230" s="508">
        <f>IF(D1215="","-",+C1229+1)</f>
        <v>2026</v>
      </c>
      <c r="D1230" s="471">
        <f t="shared" si="118"/>
        <v>571381.79476190521</v>
      </c>
      <c r="E1230" s="515">
        <f t="shared" si="119"/>
        <v>16805.346904761907</v>
      </c>
      <c r="F1230" s="515">
        <f t="shared" si="112"/>
        <v>554576.44785714336</v>
      </c>
      <c r="G1230" s="471">
        <f t="shared" si="113"/>
        <v>562979.12130952429</v>
      </c>
      <c r="H1230" s="509">
        <f>+J1216*G1230+E1230</f>
        <v>78834.118064648224</v>
      </c>
      <c r="I1230" s="516">
        <f>+J1217*G1230+E1230</f>
        <v>78834.118064648224</v>
      </c>
      <c r="J1230" s="512">
        <f t="shared" si="114"/>
        <v>0</v>
      </c>
      <c r="K1230" s="512"/>
      <c r="L1230" s="517">
        <v>0</v>
      </c>
      <c r="M1230" s="512">
        <f t="shared" si="115"/>
        <v>0</v>
      </c>
      <c r="N1230" s="517">
        <v>0</v>
      </c>
      <c r="O1230" s="512">
        <f t="shared" si="116"/>
        <v>0</v>
      </c>
      <c r="P1230" s="512">
        <f t="shared" si="117"/>
        <v>0</v>
      </c>
      <c r="Q1230" s="473"/>
    </row>
    <row r="1231" spans="1:17">
      <c r="C1231" s="508">
        <f>IF(D1215="","-",+C1230+1)</f>
        <v>2027</v>
      </c>
      <c r="D1231" s="471">
        <f t="shared" si="118"/>
        <v>554576.44785714336</v>
      </c>
      <c r="E1231" s="515">
        <f t="shared" si="119"/>
        <v>16805.346904761907</v>
      </c>
      <c r="F1231" s="515">
        <f t="shared" si="112"/>
        <v>537771.1009523815</v>
      </c>
      <c r="G1231" s="471">
        <f t="shared" si="113"/>
        <v>546173.77440476243</v>
      </c>
      <c r="H1231" s="509">
        <f>+J1216*G1231+E1231</f>
        <v>76982.512955397891</v>
      </c>
      <c r="I1231" s="516">
        <f>+J1217*G1231+E1231</f>
        <v>76982.512955397891</v>
      </c>
      <c r="J1231" s="512">
        <f t="shared" si="114"/>
        <v>0</v>
      </c>
      <c r="K1231" s="512"/>
      <c r="L1231" s="517">
        <v>0</v>
      </c>
      <c r="M1231" s="512">
        <f t="shared" si="115"/>
        <v>0</v>
      </c>
      <c r="N1231" s="517">
        <v>0</v>
      </c>
      <c r="O1231" s="512">
        <f t="shared" si="116"/>
        <v>0</v>
      </c>
      <c r="P1231" s="512">
        <f t="shared" si="117"/>
        <v>0</v>
      </c>
      <c r="Q1231" s="473"/>
    </row>
    <row r="1232" spans="1:17">
      <c r="C1232" s="508">
        <f>IF(D1215="","-",+C1231+1)</f>
        <v>2028</v>
      </c>
      <c r="D1232" s="471">
        <f t="shared" si="118"/>
        <v>537771.1009523815</v>
      </c>
      <c r="E1232" s="515">
        <f t="shared" si="119"/>
        <v>16805.346904761907</v>
      </c>
      <c r="F1232" s="515">
        <f t="shared" si="112"/>
        <v>520965.75404761959</v>
      </c>
      <c r="G1232" s="471">
        <f t="shared" si="113"/>
        <v>529368.42750000057</v>
      </c>
      <c r="H1232" s="509">
        <f>+J1216*G1232+E1232</f>
        <v>75130.907846147573</v>
      </c>
      <c r="I1232" s="516">
        <f>+J1217*G1232+E1232</f>
        <v>75130.907846147573</v>
      </c>
      <c r="J1232" s="512">
        <f t="shared" si="114"/>
        <v>0</v>
      </c>
      <c r="K1232" s="512"/>
      <c r="L1232" s="517"/>
      <c r="M1232" s="512">
        <f t="shared" si="115"/>
        <v>0</v>
      </c>
      <c r="N1232" s="517"/>
      <c r="O1232" s="512">
        <f t="shared" si="116"/>
        <v>0</v>
      </c>
      <c r="P1232" s="512">
        <f t="shared" si="117"/>
        <v>0</v>
      </c>
      <c r="Q1232" s="473"/>
    </row>
    <row r="1233" spans="3:17">
      <c r="C1233" s="508">
        <f>IF(D1215="","-",+C1232+1)</f>
        <v>2029</v>
      </c>
      <c r="D1233" s="471">
        <f t="shared" si="118"/>
        <v>520965.75404761959</v>
      </c>
      <c r="E1233" s="515">
        <f t="shared" si="119"/>
        <v>16805.346904761907</v>
      </c>
      <c r="F1233" s="515">
        <f t="shared" si="112"/>
        <v>504160.40714285767</v>
      </c>
      <c r="G1233" s="471">
        <f t="shared" si="113"/>
        <v>512563.0805952386</v>
      </c>
      <c r="H1233" s="509">
        <f>+J1216*G1233+E1233</f>
        <v>73279.302736897225</v>
      </c>
      <c r="I1233" s="516">
        <f>+J1217*G1233+E1233</f>
        <v>73279.302736897225</v>
      </c>
      <c r="J1233" s="512">
        <f t="shared" si="114"/>
        <v>0</v>
      </c>
      <c r="K1233" s="512"/>
      <c r="L1233" s="517"/>
      <c r="M1233" s="512">
        <f t="shared" si="115"/>
        <v>0</v>
      </c>
      <c r="N1233" s="517"/>
      <c r="O1233" s="512">
        <f t="shared" si="116"/>
        <v>0</v>
      </c>
      <c r="P1233" s="512">
        <f t="shared" si="117"/>
        <v>0</v>
      </c>
      <c r="Q1233" s="473"/>
    </row>
    <row r="1234" spans="3:17">
      <c r="C1234" s="508">
        <f>IF(D1215="","-",+C1233+1)</f>
        <v>2030</v>
      </c>
      <c r="D1234" s="471">
        <f t="shared" si="118"/>
        <v>504160.40714285767</v>
      </c>
      <c r="E1234" s="515">
        <f t="shared" si="119"/>
        <v>16805.346904761907</v>
      </c>
      <c r="F1234" s="515">
        <f t="shared" si="112"/>
        <v>487355.06023809576</v>
      </c>
      <c r="G1234" s="471">
        <f t="shared" si="113"/>
        <v>495757.73369047674</v>
      </c>
      <c r="H1234" s="509">
        <f>+J1216*G1234+E1234</f>
        <v>71427.697627646892</v>
      </c>
      <c r="I1234" s="516">
        <f>+J1217*G1234+E1234</f>
        <v>71427.697627646892</v>
      </c>
      <c r="J1234" s="512">
        <f t="shared" si="114"/>
        <v>0</v>
      </c>
      <c r="K1234" s="512"/>
      <c r="L1234" s="517"/>
      <c r="M1234" s="512">
        <f t="shared" si="115"/>
        <v>0</v>
      </c>
      <c r="N1234" s="517"/>
      <c r="O1234" s="512">
        <f t="shared" si="116"/>
        <v>0</v>
      </c>
      <c r="P1234" s="512">
        <f t="shared" si="117"/>
        <v>0</v>
      </c>
      <c r="Q1234" s="473"/>
    </row>
    <row r="1235" spans="3:17">
      <c r="C1235" s="508">
        <f>IF(D1215="","-",+C1234+1)</f>
        <v>2031</v>
      </c>
      <c r="D1235" s="471">
        <f t="shared" si="118"/>
        <v>487355.06023809576</v>
      </c>
      <c r="E1235" s="515">
        <f t="shared" si="119"/>
        <v>16805.346904761907</v>
      </c>
      <c r="F1235" s="515">
        <f t="shared" si="112"/>
        <v>470549.71333333384</v>
      </c>
      <c r="G1235" s="471">
        <f t="shared" si="113"/>
        <v>478952.38678571477</v>
      </c>
      <c r="H1235" s="509">
        <f>+J1216*G1235+E1235</f>
        <v>69576.092518396545</v>
      </c>
      <c r="I1235" s="516">
        <f>+J1217*G1235+E1235</f>
        <v>69576.092518396545</v>
      </c>
      <c r="J1235" s="512">
        <f t="shared" si="114"/>
        <v>0</v>
      </c>
      <c r="K1235" s="512"/>
      <c r="L1235" s="517"/>
      <c r="M1235" s="512">
        <f t="shared" si="115"/>
        <v>0</v>
      </c>
      <c r="N1235" s="517"/>
      <c r="O1235" s="512">
        <f t="shared" si="116"/>
        <v>0</v>
      </c>
      <c r="P1235" s="512">
        <f t="shared" si="117"/>
        <v>0</v>
      </c>
      <c r="Q1235" s="473"/>
    </row>
    <row r="1236" spans="3:17">
      <c r="C1236" s="508">
        <f>IF(D1215="","-",+C1235+1)</f>
        <v>2032</v>
      </c>
      <c r="D1236" s="471">
        <f t="shared" si="118"/>
        <v>470549.71333333384</v>
      </c>
      <c r="E1236" s="515">
        <f t="shared" si="119"/>
        <v>16805.346904761907</v>
      </c>
      <c r="F1236" s="515">
        <f t="shared" si="112"/>
        <v>453744.36642857193</v>
      </c>
      <c r="G1236" s="471">
        <f t="shared" si="113"/>
        <v>462147.03988095291</v>
      </c>
      <c r="H1236" s="509">
        <f>+J1216*G1236+E1236</f>
        <v>67724.487409146212</v>
      </c>
      <c r="I1236" s="516">
        <f>+J1217*G1236+E1236</f>
        <v>67724.487409146212</v>
      </c>
      <c r="J1236" s="512">
        <f t="shared" si="114"/>
        <v>0</v>
      </c>
      <c r="K1236" s="512"/>
      <c r="L1236" s="517"/>
      <c r="M1236" s="512">
        <f t="shared" si="115"/>
        <v>0</v>
      </c>
      <c r="N1236" s="517"/>
      <c r="O1236" s="512">
        <f t="shared" si="116"/>
        <v>0</v>
      </c>
      <c r="P1236" s="512">
        <f t="shared" si="117"/>
        <v>0</v>
      </c>
      <c r="Q1236" s="473"/>
    </row>
    <row r="1237" spans="3:17">
      <c r="C1237" s="508">
        <f>IF(D1215="","-",+C1236+1)</f>
        <v>2033</v>
      </c>
      <c r="D1237" s="471">
        <f t="shared" si="118"/>
        <v>453744.36642857193</v>
      </c>
      <c r="E1237" s="515">
        <f t="shared" si="119"/>
        <v>16805.346904761907</v>
      </c>
      <c r="F1237" s="515">
        <f t="shared" si="112"/>
        <v>436939.01952381001</v>
      </c>
      <c r="G1237" s="471">
        <f t="shared" si="113"/>
        <v>445341.69297619094</v>
      </c>
      <c r="H1237" s="509">
        <f>+J1216*G1237+E1237</f>
        <v>65872.882299895864</v>
      </c>
      <c r="I1237" s="516">
        <f>+J1217*G1237+E1237</f>
        <v>65872.882299895864</v>
      </c>
      <c r="J1237" s="512">
        <f t="shared" si="114"/>
        <v>0</v>
      </c>
      <c r="K1237" s="512"/>
      <c r="L1237" s="517"/>
      <c r="M1237" s="512">
        <f t="shared" si="115"/>
        <v>0</v>
      </c>
      <c r="N1237" s="517"/>
      <c r="O1237" s="512">
        <f t="shared" si="116"/>
        <v>0</v>
      </c>
      <c r="P1237" s="512">
        <f t="shared" si="117"/>
        <v>0</v>
      </c>
      <c r="Q1237" s="473"/>
    </row>
    <row r="1238" spans="3:17">
      <c r="C1238" s="508">
        <f>IF(D1215="","-",+C1237+1)</f>
        <v>2034</v>
      </c>
      <c r="D1238" s="471">
        <f t="shared" si="118"/>
        <v>436939.01952381001</v>
      </c>
      <c r="E1238" s="515">
        <f t="shared" si="119"/>
        <v>16805.346904761907</v>
      </c>
      <c r="F1238" s="515">
        <f t="shared" si="112"/>
        <v>420133.6726190481</v>
      </c>
      <c r="G1238" s="471">
        <f t="shared" si="113"/>
        <v>428536.34607142908</v>
      </c>
      <c r="H1238" s="509">
        <f>+J1216*G1238+E1238</f>
        <v>64021.277190645538</v>
      </c>
      <c r="I1238" s="516">
        <f>+J1217*G1238+E1238</f>
        <v>64021.277190645538</v>
      </c>
      <c r="J1238" s="512">
        <f t="shared" si="114"/>
        <v>0</v>
      </c>
      <c r="K1238" s="512"/>
      <c r="L1238" s="517"/>
      <c r="M1238" s="512">
        <f t="shared" si="115"/>
        <v>0</v>
      </c>
      <c r="N1238" s="517"/>
      <c r="O1238" s="512">
        <f t="shared" si="116"/>
        <v>0</v>
      </c>
      <c r="P1238" s="512">
        <f t="shared" si="117"/>
        <v>0</v>
      </c>
      <c r="Q1238" s="473"/>
    </row>
    <row r="1239" spans="3:17">
      <c r="C1239" s="508">
        <f>IF(D1215="","-",+C1238+1)</f>
        <v>2035</v>
      </c>
      <c r="D1239" s="471">
        <f t="shared" si="118"/>
        <v>420133.6726190481</v>
      </c>
      <c r="E1239" s="515">
        <f t="shared" si="119"/>
        <v>16805.346904761907</v>
      </c>
      <c r="F1239" s="515">
        <f t="shared" si="112"/>
        <v>403328.32571428618</v>
      </c>
      <c r="G1239" s="471">
        <f t="shared" si="113"/>
        <v>411730.99916666711</v>
      </c>
      <c r="H1239" s="509">
        <f>+J1216*G1239+E1239</f>
        <v>62169.672081395198</v>
      </c>
      <c r="I1239" s="516">
        <f>+J1217*G1239+E1239</f>
        <v>62169.672081395198</v>
      </c>
      <c r="J1239" s="512">
        <f t="shared" si="114"/>
        <v>0</v>
      </c>
      <c r="K1239" s="512"/>
      <c r="L1239" s="517"/>
      <c r="M1239" s="512">
        <f t="shared" si="115"/>
        <v>0</v>
      </c>
      <c r="N1239" s="517"/>
      <c r="O1239" s="512">
        <f t="shared" si="116"/>
        <v>0</v>
      </c>
      <c r="P1239" s="512">
        <f t="shared" si="117"/>
        <v>0</v>
      </c>
      <c r="Q1239" s="473"/>
    </row>
    <row r="1240" spans="3:17">
      <c r="C1240" s="508">
        <f>IF(D1215="","-",+C1239+1)</f>
        <v>2036</v>
      </c>
      <c r="D1240" s="471">
        <f t="shared" si="118"/>
        <v>403328.32571428618</v>
      </c>
      <c r="E1240" s="515">
        <f t="shared" si="119"/>
        <v>16805.346904761907</v>
      </c>
      <c r="F1240" s="515">
        <f t="shared" si="112"/>
        <v>386522.97880952427</v>
      </c>
      <c r="G1240" s="471">
        <f t="shared" si="113"/>
        <v>394925.65226190526</v>
      </c>
      <c r="H1240" s="509">
        <f>+J1216*G1240+E1240</f>
        <v>60318.066972144865</v>
      </c>
      <c r="I1240" s="516">
        <f>+J1217*G1240+E1240</f>
        <v>60318.066972144865</v>
      </c>
      <c r="J1240" s="512">
        <f t="shared" si="114"/>
        <v>0</v>
      </c>
      <c r="K1240" s="512"/>
      <c r="L1240" s="517"/>
      <c r="M1240" s="512">
        <f t="shared" si="115"/>
        <v>0</v>
      </c>
      <c r="N1240" s="517"/>
      <c r="O1240" s="512">
        <f t="shared" si="116"/>
        <v>0</v>
      </c>
      <c r="P1240" s="512">
        <f t="shared" si="117"/>
        <v>0</v>
      </c>
      <c r="Q1240" s="473"/>
    </row>
    <row r="1241" spans="3:17">
      <c r="C1241" s="508">
        <f>IF(D1215="","-",+C1240+1)</f>
        <v>2037</v>
      </c>
      <c r="D1241" s="471">
        <f t="shared" si="118"/>
        <v>386522.97880952427</v>
      </c>
      <c r="E1241" s="515">
        <f t="shared" si="119"/>
        <v>16805.346904761907</v>
      </c>
      <c r="F1241" s="515">
        <f t="shared" si="112"/>
        <v>369717.63190476235</v>
      </c>
      <c r="G1241" s="471">
        <f t="shared" si="113"/>
        <v>378120.30535714328</v>
      </c>
      <c r="H1241" s="509">
        <f>+J1216*G1241+E1241</f>
        <v>58466.461862894517</v>
      </c>
      <c r="I1241" s="516">
        <f>+J1217*G1241+E1241</f>
        <v>58466.461862894517</v>
      </c>
      <c r="J1241" s="512">
        <f t="shared" si="114"/>
        <v>0</v>
      </c>
      <c r="K1241" s="512"/>
      <c r="L1241" s="517"/>
      <c r="M1241" s="512">
        <f t="shared" si="115"/>
        <v>0</v>
      </c>
      <c r="N1241" s="517"/>
      <c r="O1241" s="512">
        <f t="shared" si="116"/>
        <v>0</v>
      </c>
      <c r="P1241" s="512">
        <f t="shared" si="117"/>
        <v>0</v>
      </c>
      <c r="Q1241" s="473"/>
    </row>
    <row r="1242" spans="3:17">
      <c r="C1242" s="508">
        <f>IF(D1215="","-",+C1241+1)</f>
        <v>2038</v>
      </c>
      <c r="D1242" s="471">
        <f t="shared" si="118"/>
        <v>369717.63190476235</v>
      </c>
      <c r="E1242" s="515">
        <f t="shared" si="119"/>
        <v>16805.346904761907</v>
      </c>
      <c r="F1242" s="515">
        <f t="shared" si="112"/>
        <v>352912.28500000044</v>
      </c>
      <c r="G1242" s="471">
        <f t="shared" si="113"/>
        <v>361314.95845238143</v>
      </c>
      <c r="H1242" s="509">
        <f>+J1216*G1242+E1242</f>
        <v>56614.856753644191</v>
      </c>
      <c r="I1242" s="516">
        <f>+J1217*G1242+E1242</f>
        <v>56614.856753644191</v>
      </c>
      <c r="J1242" s="512">
        <f t="shared" si="114"/>
        <v>0</v>
      </c>
      <c r="K1242" s="512"/>
      <c r="L1242" s="517"/>
      <c r="M1242" s="512">
        <f t="shared" si="115"/>
        <v>0</v>
      </c>
      <c r="N1242" s="517"/>
      <c r="O1242" s="512">
        <f t="shared" si="116"/>
        <v>0</v>
      </c>
      <c r="P1242" s="512">
        <f t="shared" si="117"/>
        <v>0</v>
      </c>
      <c r="Q1242" s="473"/>
    </row>
    <row r="1243" spans="3:17">
      <c r="C1243" s="508">
        <f>IF(D1215="","-",+C1242+1)</f>
        <v>2039</v>
      </c>
      <c r="D1243" s="471">
        <f t="shared" si="118"/>
        <v>352912.28500000044</v>
      </c>
      <c r="E1243" s="515">
        <f t="shared" si="119"/>
        <v>16805.346904761907</v>
      </c>
      <c r="F1243" s="515">
        <f t="shared" si="112"/>
        <v>336106.93809523853</v>
      </c>
      <c r="G1243" s="471">
        <f t="shared" si="113"/>
        <v>344509.61154761945</v>
      </c>
      <c r="H1243" s="509">
        <f>+J1216*G1243+E1243</f>
        <v>54763.251644393844</v>
      </c>
      <c r="I1243" s="516">
        <f>+J1217*G1243+E1243</f>
        <v>54763.251644393844</v>
      </c>
      <c r="J1243" s="512">
        <f t="shared" si="114"/>
        <v>0</v>
      </c>
      <c r="K1243" s="512"/>
      <c r="L1243" s="517"/>
      <c r="M1243" s="512">
        <f t="shared" si="115"/>
        <v>0</v>
      </c>
      <c r="N1243" s="517"/>
      <c r="O1243" s="512">
        <f t="shared" si="116"/>
        <v>0</v>
      </c>
      <c r="P1243" s="512">
        <f t="shared" si="117"/>
        <v>0</v>
      </c>
      <c r="Q1243" s="473"/>
    </row>
    <row r="1244" spans="3:17">
      <c r="C1244" s="508">
        <f>IF(D1215="","-",+C1243+1)</f>
        <v>2040</v>
      </c>
      <c r="D1244" s="471">
        <f t="shared" si="118"/>
        <v>336106.93809523853</v>
      </c>
      <c r="E1244" s="515">
        <f t="shared" si="119"/>
        <v>16805.346904761907</v>
      </c>
      <c r="F1244" s="515">
        <f t="shared" si="112"/>
        <v>319301.59119047661</v>
      </c>
      <c r="G1244" s="471">
        <f t="shared" si="113"/>
        <v>327704.2646428576</v>
      </c>
      <c r="H1244" s="509">
        <f>+J1216*G1244+E1244</f>
        <v>52911.646535143518</v>
      </c>
      <c r="I1244" s="516">
        <f>+J1217*G1244+E1244</f>
        <v>52911.646535143518</v>
      </c>
      <c r="J1244" s="512">
        <f t="shared" si="114"/>
        <v>0</v>
      </c>
      <c r="K1244" s="512"/>
      <c r="L1244" s="517"/>
      <c r="M1244" s="512">
        <f t="shared" si="115"/>
        <v>0</v>
      </c>
      <c r="N1244" s="517"/>
      <c r="O1244" s="512">
        <f t="shared" si="116"/>
        <v>0</v>
      </c>
      <c r="P1244" s="512">
        <f t="shared" si="117"/>
        <v>0</v>
      </c>
      <c r="Q1244" s="473"/>
    </row>
    <row r="1245" spans="3:17">
      <c r="C1245" s="508">
        <f>IF(D1215="","-",+C1244+1)</f>
        <v>2041</v>
      </c>
      <c r="D1245" s="471">
        <f t="shared" si="118"/>
        <v>319301.59119047661</v>
      </c>
      <c r="E1245" s="515">
        <f t="shared" si="119"/>
        <v>16805.346904761907</v>
      </c>
      <c r="F1245" s="515">
        <f t="shared" si="112"/>
        <v>302496.2442857147</v>
      </c>
      <c r="G1245" s="471">
        <f t="shared" si="113"/>
        <v>310898.91773809562</v>
      </c>
      <c r="H1245" s="509">
        <f>+J1216*G1245+E1245</f>
        <v>51060.041425893171</v>
      </c>
      <c r="I1245" s="516">
        <f>+J1217*G1245+E1245</f>
        <v>51060.041425893171</v>
      </c>
      <c r="J1245" s="512">
        <f t="shared" si="114"/>
        <v>0</v>
      </c>
      <c r="K1245" s="512"/>
      <c r="L1245" s="517"/>
      <c r="M1245" s="512">
        <f t="shared" si="115"/>
        <v>0</v>
      </c>
      <c r="N1245" s="517"/>
      <c r="O1245" s="512">
        <f t="shared" si="116"/>
        <v>0</v>
      </c>
      <c r="P1245" s="512">
        <f t="shared" si="117"/>
        <v>0</v>
      </c>
      <c r="Q1245" s="473"/>
    </row>
    <row r="1246" spans="3:17">
      <c r="C1246" s="508">
        <f>IF(D1215="","-",+C1245+1)</f>
        <v>2042</v>
      </c>
      <c r="D1246" s="471">
        <f t="shared" si="118"/>
        <v>302496.2442857147</v>
      </c>
      <c r="E1246" s="515">
        <f t="shared" si="119"/>
        <v>16805.346904761907</v>
      </c>
      <c r="F1246" s="515">
        <f t="shared" si="112"/>
        <v>285690.89738095278</v>
      </c>
      <c r="G1246" s="471">
        <f t="shared" si="113"/>
        <v>294093.57083333377</v>
      </c>
      <c r="H1246" s="509">
        <f>+J1216*G1246+E1246</f>
        <v>49208.436316642837</v>
      </c>
      <c r="I1246" s="516">
        <f>+J1217*G1246+E1246</f>
        <v>49208.436316642837</v>
      </c>
      <c r="J1246" s="512">
        <f t="shared" si="114"/>
        <v>0</v>
      </c>
      <c r="K1246" s="512"/>
      <c r="L1246" s="517"/>
      <c r="M1246" s="512">
        <f t="shared" si="115"/>
        <v>0</v>
      </c>
      <c r="N1246" s="517"/>
      <c r="O1246" s="512">
        <f t="shared" si="116"/>
        <v>0</v>
      </c>
      <c r="P1246" s="512">
        <f t="shared" si="117"/>
        <v>0</v>
      </c>
      <c r="Q1246" s="473"/>
    </row>
    <row r="1247" spans="3:17">
      <c r="C1247" s="508">
        <f>IF(D1215="","-",+C1246+1)</f>
        <v>2043</v>
      </c>
      <c r="D1247" s="471">
        <f t="shared" si="118"/>
        <v>285690.89738095278</v>
      </c>
      <c r="E1247" s="515">
        <f t="shared" si="119"/>
        <v>16805.346904761907</v>
      </c>
      <c r="F1247" s="515">
        <f t="shared" si="112"/>
        <v>268885.55047619087</v>
      </c>
      <c r="G1247" s="471">
        <f t="shared" si="113"/>
        <v>277288.2239285718</v>
      </c>
      <c r="H1247" s="509">
        <f>+J1216*G1247+E1247</f>
        <v>47356.831207392497</v>
      </c>
      <c r="I1247" s="516">
        <f>+J1217*G1247+E1247</f>
        <v>47356.831207392497</v>
      </c>
      <c r="J1247" s="512">
        <f t="shared" si="114"/>
        <v>0</v>
      </c>
      <c r="K1247" s="512"/>
      <c r="L1247" s="517"/>
      <c r="M1247" s="512">
        <f t="shared" si="115"/>
        <v>0</v>
      </c>
      <c r="N1247" s="517"/>
      <c r="O1247" s="512">
        <f t="shared" si="116"/>
        <v>0</v>
      </c>
      <c r="P1247" s="512">
        <f t="shared" si="117"/>
        <v>0</v>
      </c>
      <c r="Q1247" s="473"/>
    </row>
    <row r="1248" spans="3:17">
      <c r="C1248" s="508">
        <f>IF(D1215="","-",+C1247+1)</f>
        <v>2044</v>
      </c>
      <c r="D1248" s="471">
        <f t="shared" si="118"/>
        <v>268885.55047619087</v>
      </c>
      <c r="E1248" s="515">
        <f t="shared" si="119"/>
        <v>16805.346904761907</v>
      </c>
      <c r="F1248" s="515">
        <f t="shared" si="112"/>
        <v>252080.20357142895</v>
      </c>
      <c r="G1248" s="471">
        <f t="shared" si="113"/>
        <v>260482.87702380991</v>
      </c>
      <c r="H1248" s="509">
        <f>+J1216*G1248+E1248</f>
        <v>45505.226098142164</v>
      </c>
      <c r="I1248" s="516">
        <f>+J1217*G1248+E1248</f>
        <v>45505.226098142164</v>
      </c>
      <c r="J1248" s="512">
        <f t="shared" si="114"/>
        <v>0</v>
      </c>
      <c r="K1248" s="512"/>
      <c r="L1248" s="517"/>
      <c r="M1248" s="512">
        <f t="shared" si="115"/>
        <v>0</v>
      </c>
      <c r="N1248" s="517"/>
      <c r="O1248" s="512">
        <f t="shared" si="116"/>
        <v>0</v>
      </c>
      <c r="P1248" s="512">
        <f t="shared" si="117"/>
        <v>0</v>
      </c>
      <c r="Q1248" s="473"/>
    </row>
    <row r="1249" spans="3:17">
      <c r="C1249" s="508">
        <f>IF(D1215="","-",+C1248+1)</f>
        <v>2045</v>
      </c>
      <c r="D1249" s="471">
        <f t="shared" si="118"/>
        <v>252080.20357142895</v>
      </c>
      <c r="E1249" s="515">
        <f t="shared" si="119"/>
        <v>16805.346904761907</v>
      </c>
      <c r="F1249" s="515">
        <f t="shared" si="112"/>
        <v>235274.85666666704</v>
      </c>
      <c r="G1249" s="471">
        <f t="shared" si="113"/>
        <v>243677.53011904799</v>
      </c>
      <c r="H1249" s="509">
        <f>+J1216*G1249+E1249</f>
        <v>43653.620988891824</v>
      </c>
      <c r="I1249" s="516">
        <f>+J1217*G1249+E1249</f>
        <v>43653.620988891824</v>
      </c>
      <c r="J1249" s="512">
        <f t="shared" si="114"/>
        <v>0</v>
      </c>
      <c r="K1249" s="512"/>
      <c r="L1249" s="517"/>
      <c r="M1249" s="512">
        <f t="shared" si="115"/>
        <v>0</v>
      </c>
      <c r="N1249" s="517"/>
      <c r="O1249" s="512">
        <f t="shared" si="116"/>
        <v>0</v>
      </c>
      <c r="P1249" s="512">
        <f t="shared" si="117"/>
        <v>0</v>
      </c>
      <c r="Q1249" s="473"/>
    </row>
    <row r="1250" spans="3:17">
      <c r="C1250" s="508">
        <f>IF(D1215="","-",+C1249+1)</f>
        <v>2046</v>
      </c>
      <c r="D1250" s="471">
        <f t="shared" si="118"/>
        <v>235274.85666666704</v>
      </c>
      <c r="E1250" s="515">
        <f t="shared" si="119"/>
        <v>16805.346904761907</v>
      </c>
      <c r="F1250" s="515">
        <f t="shared" si="112"/>
        <v>218469.50976190512</v>
      </c>
      <c r="G1250" s="471">
        <f t="shared" si="113"/>
        <v>226872.18321428608</v>
      </c>
      <c r="H1250" s="509">
        <f>+J1216*G1250+E1250</f>
        <v>41802.015879641491</v>
      </c>
      <c r="I1250" s="516">
        <f>+J1217*G1250+E1250</f>
        <v>41802.015879641491</v>
      </c>
      <c r="J1250" s="512">
        <f t="shared" si="114"/>
        <v>0</v>
      </c>
      <c r="K1250" s="512"/>
      <c r="L1250" s="517"/>
      <c r="M1250" s="512">
        <f t="shared" si="115"/>
        <v>0</v>
      </c>
      <c r="N1250" s="517"/>
      <c r="O1250" s="512">
        <f t="shared" si="116"/>
        <v>0</v>
      </c>
      <c r="P1250" s="512">
        <f t="shared" si="117"/>
        <v>0</v>
      </c>
      <c r="Q1250" s="473"/>
    </row>
    <row r="1251" spans="3:17">
      <c r="C1251" s="508">
        <f>IF(D1215="","-",+C1250+1)</f>
        <v>2047</v>
      </c>
      <c r="D1251" s="471">
        <f t="shared" si="118"/>
        <v>218469.50976190512</v>
      </c>
      <c r="E1251" s="515">
        <f t="shared" si="119"/>
        <v>16805.346904761907</v>
      </c>
      <c r="F1251" s="515">
        <f t="shared" si="112"/>
        <v>201664.16285714321</v>
      </c>
      <c r="G1251" s="471">
        <f t="shared" si="113"/>
        <v>210066.83630952417</v>
      </c>
      <c r="H1251" s="509">
        <f>+J1216*G1251+E1251</f>
        <v>39950.41077039115</v>
      </c>
      <c r="I1251" s="516">
        <f>+J1217*G1251+E1251</f>
        <v>39950.41077039115</v>
      </c>
      <c r="J1251" s="512">
        <f t="shared" si="114"/>
        <v>0</v>
      </c>
      <c r="K1251" s="512"/>
      <c r="L1251" s="517"/>
      <c r="M1251" s="512">
        <f t="shared" si="115"/>
        <v>0</v>
      </c>
      <c r="N1251" s="517"/>
      <c r="O1251" s="512">
        <f t="shared" si="116"/>
        <v>0</v>
      </c>
      <c r="P1251" s="512">
        <f t="shared" si="117"/>
        <v>0</v>
      </c>
      <c r="Q1251" s="473"/>
    </row>
    <row r="1252" spans="3:17">
      <c r="C1252" s="508">
        <f>IF(D1215="","-",+C1251+1)</f>
        <v>2048</v>
      </c>
      <c r="D1252" s="471">
        <f t="shared" si="118"/>
        <v>201664.16285714321</v>
      </c>
      <c r="E1252" s="515">
        <f t="shared" si="119"/>
        <v>16805.346904761907</v>
      </c>
      <c r="F1252" s="515">
        <f t="shared" si="112"/>
        <v>184858.81595238129</v>
      </c>
      <c r="G1252" s="471">
        <f t="shared" si="113"/>
        <v>193261.48940476225</v>
      </c>
      <c r="H1252" s="509">
        <f>+J1216*G1252+E1252</f>
        <v>38098.80566114081</v>
      </c>
      <c r="I1252" s="516">
        <f>+J1217*G1252+E1252</f>
        <v>38098.80566114081</v>
      </c>
      <c r="J1252" s="512">
        <f t="shared" si="114"/>
        <v>0</v>
      </c>
      <c r="K1252" s="512"/>
      <c r="L1252" s="517"/>
      <c r="M1252" s="512">
        <f t="shared" si="115"/>
        <v>0</v>
      </c>
      <c r="N1252" s="517"/>
      <c r="O1252" s="512">
        <f t="shared" si="116"/>
        <v>0</v>
      </c>
      <c r="P1252" s="512">
        <f t="shared" si="117"/>
        <v>0</v>
      </c>
      <c r="Q1252" s="473"/>
    </row>
    <row r="1253" spans="3:17">
      <c r="C1253" s="508">
        <f>IF(D1215="","-",+C1252+1)</f>
        <v>2049</v>
      </c>
      <c r="D1253" s="471">
        <f t="shared" si="118"/>
        <v>184858.81595238129</v>
      </c>
      <c r="E1253" s="515">
        <f t="shared" si="119"/>
        <v>16805.346904761907</v>
      </c>
      <c r="F1253" s="515">
        <f t="shared" si="112"/>
        <v>168053.46904761938</v>
      </c>
      <c r="G1253" s="471">
        <f t="shared" si="113"/>
        <v>176456.14250000034</v>
      </c>
      <c r="H1253" s="509">
        <f>+J1216*G1253+E1253</f>
        <v>36247.200551890477</v>
      </c>
      <c r="I1253" s="516">
        <f>+J1217*G1253+E1253</f>
        <v>36247.200551890477</v>
      </c>
      <c r="J1253" s="512">
        <f t="shared" si="114"/>
        <v>0</v>
      </c>
      <c r="K1253" s="512"/>
      <c r="L1253" s="517"/>
      <c r="M1253" s="512">
        <f t="shared" si="115"/>
        <v>0</v>
      </c>
      <c r="N1253" s="517"/>
      <c r="O1253" s="512">
        <f t="shared" si="116"/>
        <v>0</v>
      </c>
      <c r="P1253" s="512">
        <f t="shared" si="117"/>
        <v>0</v>
      </c>
      <c r="Q1253" s="473"/>
    </row>
    <row r="1254" spans="3:17">
      <c r="C1254" s="508">
        <f>IF(D1215="","-",+C1253+1)</f>
        <v>2050</v>
      </c>
      <c r="D1254" s="471">
        <f t="shared" si="118"/>
        <v>168053.46904761938</v>
      </c>
      <c r="E1254" s="515">
        <f t="shared" si="119"/>
        <v>16805.346904761907</v>
      </c>
      <c r="F1254" s="515">
        <f t="shared" si="112"/>
        <v>151248.12214285746</v>
      </c>
      <c r="G1254" s="471">
        <f t="shared" si="113"/>
        <v>159650.79559523842</v>
      </c>
      <c r="H1254" s="509">
        <f>+J1216*G1254+E1254</f>
        <v>34395.595442640137</v>
      </c>
      <c r="I1254" s="516">
        <f>+J1217*G1254+E1254</f>
        <v>34395.595442640137</v>
      </c>
      <c r="J1254" s="512">
        <f t="shared" si="114"/>
        <v>0</v>
      </c>
      <c r="K1254" s="512"/>
      <c r="L1254" s="517"/>
      <c r="M1254" s="512">
        <f t="shared" si="115"/>
        <v>0</v>
      </c>
      <c r="N1254" s="517"/>
      <c r="O1254" s="512">
        <f t="shared" si="116"/>
        <v>0</v>
      </c>
      <c r="P1254" s="512">
        <f t="shared" si="117"/>
        <v>0</v>
      </c>
      <c r="Q1254" s="473"/>
    </row>
    <row r="1255" spans="3:17">
      <c r="C1255" s="508">
        <f>IF(D1215="","-",+C1254+1)</f>
        <v>2051</v>
      </c>
      <c r="D1255" s="471">
        <f t="shared" si="118"/>
        <v>151248.12214285746</v>
      </c>
      <c r="E1255" s="515">
        <f t="shared" si="119"/>
        <v>16805.346904761907</v>
      </c>
      <c r="F1255" s="515">
        <f t="shared" si="112"/>
        <v>134442.77523809555</v>
      </c>
      <c r="G1255" s="471">
        <f t="shared" si="113"/>
        <v>142845.44869047651</v>
      </c>
      <c r="H1255" s="509">
        <f>+J1216*G1255+E1255</f>
        <v>32543.9903333898</v>
      </c>
      <c r="I1255" s="516">
        <f>+J1217*G1255+E1255</f>
        <v>32543.9903333898</v>
      </c>
      <c r="J1255" s="512">
        <f t="shared" si="114"/>
        <v>0</v>
      </c>
      <c r="K1255" s="512"/>
      <c r="L1255" s="517"/>
      <c r="M1255" s="512">
        <f t="shared" si="115"/>
        <v>0</v>
      </c>
      <c r="N1255" s="517"/>
      <c r="O1255" s="512">
        <f t="shared" si="116"/>
        <v>0</v>
      </c>
      <c r="P1255" s="512">
        <f t="shared" si="117"/>
        <v>0</v>
      </c>
      <c r="Q1255" s="473"/>
    </row>
    <row r="1256" spans="3:17">
      <c r="C1256" s="508">
        <f>IF(D1215="","-",+C1255+1)</f>
        <v>2052</v>
      </c>
      <c r="D1256" s="471">
        <f t="shared" si="118"/>
        <v>134442.77523809555</v>
      </c>
      <c r="E1256" s="515">
        <f t="shared" si="119"/>
        <v>16805.346904761907</v>
      </c>
      <c r="F1256" s="515">
        <f t="shared" si="112"/>
        <v>117637.42833333364</v>
      </c>
      <c r="G1256" s="471">
        <f t="shared" si="113"/>
        <v>126040.10178571459</v>
      </c>
      <c r="H1256" s="509">
        <f>+J1216*G1256+E1256</f>
        <v>30692.385224139463</v>
      </c>
      <c r="I1256" s="516">
        <f>+J1217*G1256+E1256</f>
        <v>30692.385224139463</v>
      </c>
      <c r="J1256" s="512">
        <f t="shared" si="114"/>
        <v>0</v>
      </c>
      <c r="K1256" s="512"/>
      <c r="L1256" s="517"/>
      <c r="M1256" s="512">
        <f t="shared" si="115"/>
        <v>0</v>
      </c>
      <c r="N1256" s="517"/>
      <c r="O1256" s="512">
        <f t="shared" si="116"/>
        <v>0</v>
      </c>
      <c r="P1256" s="512">
        <f t="shared" si="117"/>
        <v>0</v>
      </c>
      <c r="Q1256" s="473"/>
    </row>
    <row r="1257" spans="3:17">
      <c r="C1257" s="508">
        <f>IF(D1215="","-",+C1256+1)</f>
        <v>2053</v>
      </c>
      <c r="D1257" s="471">
        <f t="shared" si="118"/>
        <v>117637.42833333364</v>
      </c>
      <c r="E1257" s="515">
        <f t="shared" si="119"/>
        <v>16805.346904761907</v>
      </c>
      <c r="F1257" s="515">
        <f t="shared" si="112"/>
        <v>100832.08142857172</v>
      </c>
      <c r="G1257" s="471">
        <f t="shared" si="113"/>
        <v>109234.75488095268</v>
      </c>
      <c r="H1257" s="509">
        <f>+J1216*G1257+E1257</f>
        <v>28840.780114889127</v>
      </c>
      <c r="I1257" s="516">
        <f>+J1217*G1257+E1257</f>
        <v>28840.780114889127</v>
      </c>
      <c r="J1257" s="512">
        <f t="shared" si="114"/>
        <v>0</v>
      </c>
      <c r="K1257" s="512"/>
      <c r="L1257" s="517"/>
      <c r="M1257" s="512">
        <f t="shared" si="115"/>
        <v>0</v>
      </c>
      <c r="N1257" s="517"/>
      <c r="O1257" s="512">
        <f t="shared" si="116"/>
        <v>0</v>
      </c>
      <c r="P1257" s="512">
        <f t="shared" si="117"/>
        <v>0</v>
      </c>
      <c r="Q1257" s="473"/>
    </row>
    <row r="1258" spans="3:17">
      <c r="C1258" s="508">
        <f>IF(D1215="","-",+C1257+1)</f>
        <v>2054</v>
      </c>
      <c r="D1258" s="471">
        <f t="shared" si="118"/>
        <v>100832.08142857172</v>
      </c>
      <c r="E1258" s="515">
        <f t="shared" si="119"/>
        <v>16805.346904761907</v>
      </c>
      <c r="F1258" s="515">
        <f t="shared" si="112"/>
        <v>84026.734523809806</v>
      </c>
      <c r="G1258" s="471">
        <f t="shared" si="113"/>
        <v>92429.407976190763</v>
      </c>
      <c r="H1258" s="509">
        <f>+J1216*G1258+E1258</f>
        <v>26989.17500563879</v>
      </c>
      <c r="I1258" s="516">
        <f>+J1217*G1258+E1258</f>
        <v>26989.17500563879</v>
      </c>
      <c r="J1258" s="512">
        <f t="shared" si="114"/>
        <v>0</v>
      </c>
      <c r="K1258" s="512"/>
      <c r="L1258" s="517"/>
      <c r="M1258" s="512">
        <f t="shared" si="115"/>
        <v>0</v>
      </c>
      <c r="N1258" s="517"/>
      <c r="O1258" s="512">
        <f t="shared" si="116"/>
        <v>0</v>
      </c>
      <c r="P1258" s="512">
        <f t="shared" si="117"/>
        <v>0</v>
      </c>
      <c r="Q1258" s="473"/>
    </row>
    <row r="1259" spans="3:17">
      <c r="C1259" s="508">
        <f>IF(D1215="","-",+C1258+1)</f>
        <v>2055</v>
      </c>
      <c r="D1259" s="471">
        <f t="shared" si="118"/>
        <v>84026.734523809806</v>
      </c>
      <c r="E1259" s="515">
        <f t="shared" si="119"/>
        <v>16805.346904761907</v>
      </c>
      <c r="F1259" s="515">
        <f t="shared" si="112"/>
        <v>67221.387619047891</v>
      </c>
      <c r="G1259" s="471">
        <f t="shared" si="113"/>
        <v>75624.061071428849</v>
      </c>
      <c r="H1259" s="509">
        <f>+J1216*G1259+E1259</f>
        <v>25137.56989638845</v>
      </c>
      <c r="I1259" s="516">
        <f>+J1217*G1259+E1259</f>
        <v>25137.56989638845</v>
      </c>
      <c r="J1259" s="512">
        <f t="shared" si="114"/>
        <v>0</v>
      </c>
      <c r="K1259" s="512"/>
      <c r="L1259" s="517"/>
      <c r="M1259" s="512">
        <f t="shared" si="115"/>
        <v>0</v>
      </c>
      <c r="N1259" s="517"/>
      <c r="O1259" s="512">
        <f t="shared" si="116"/>
        <v>0</v>
      </c>
      <c r="P1259" s="512">
        <f t="shared" si="117"/>
        <v>0</v>
      </c>
      <c r="Q1259" s="473"/>
    </row>
    <row r="1260" spans="3:17">
      <c r="C1260" s="508">
        <f>IF(D1215="","-",+C1259+1)</f>
        <v>2056</v>
      </c>
      <c r="D1260" s="471">
        <f t="shared" si="118"/>
        <v>67221.387619047891</v>
      </c>
      <c r="E1260" s="515">
        <f t="shared" si="119"/>
        <v>16805.346904761907</v>
      </c>
      <c r="F1260" s="515">
        <f t="shared" si="112"/>
        <v>50416.040714285984</v>
      </c>
      <c r="G1260" s="471">
        <f t="shared" si="113"/>
        <v>58818.714166666934</v>
      </c>
      <c r="H1260" s="509">
        <f>+J1216*G1260+E1260</f>
        <v>23285.964787138113</v>
      </c>
      <c r="I1260" s="516">
        <f>+J1217*G1260+E1260</f>
        <v>23285.964787138113</v>
      </c>
      <c r="J1260" s="512">
        <f t="shared" si="114"/>
        <v>0</v>
      </c>
      <c r="K1260" s="512"/>
      <c r="L1260" s="517"/>
      <c r="M1260" s="512">
        <f t="shared" si="115"/>
        <v>0</v>
      </c>
      <c r="N1260" s="517"/>
      <c r="O1260" s="512">
        <f t="shared" si="116"/>
        <v>0</v>
      </c>
      <c r="P1260" s="512">
        <f t="shared" si="117"/>
        <v>0</v>
      </c>
      <c r="Q1260" s="473"/>
    </row>
    <row r="1261" spans="3:17">
      <c r="C1261" s="508">
        <f>IF(D1215="","-",+C1260+1)</f>
        <v>2057</v>
      </c>
      <c r="D1261" s="471">
        <f t="shared" si="118"/>
        <v>50416.040714285984</v>
      </c>
      <c r="E1261" s="515">
        <f t="shared" si="119"/>
        <v>16805.346904761907</v>
      </c>
      <c r="F1261" s="515">
        <f t="shared" si="112"/>
        <v>33610.693809524077</v>
      </c>
      <c r="G1261" s="471">
        <f t="shared" si="113"/>
        <v>42013.367261905034</v>
      </c>
      <c r="H1261" s="509">
        <f>+J1216*G1261+E1261</f>
        <v>21434.359677887776</v>
      </c>
      <c r="I1261" s="516">
        <f>+J1217*G1261+E1261</f>
        <v>21434.359677887776</v>
      </c>
      <c r="J1261" s="512">
        <f t="shared" si="114"/>
        <v>0</v>
      </c>
      <c r="K1261" s="512"/>
      <c r="L1261" s="517"/>
      <c r="M1261" s="512">
        <f t="shared" si="115"/>
        <v>0</v>
      </c>
      <c r="N1261" s="517"/>
      <c r="O1261" s="512">
        <f t="shared" si="116"/>
        <v>0</v>
      </c>
      <c r="P1261" s="512">
        <f t="shared" si="117"/>
        <v>0</v>
      </c>
      <c r="Q1261" s="473"/>
    </row>
    <row r="1262" spans="3:17">
      <c r="C1262" s="508">
        <f>IF(D1215="","-",+C1261+1)</f>
        <v>2058</v>
      </c>
      <c r="D1262" s="471">
        <f t="shared" si="118"/>
        <v>33610.693809524077</v>
      </c>
      <c r="E1262" s="515">
        <f t="shared" si="119"/>
        <v>16805.346904761907</v>
      </c>
      <c r="F1262" s="515">
        <f t="shared" si="112"/>
        <v>16805.346904762169</v>
      </c>
      <c r="G1262" s="471">
        <f t="shared" si="113"/>
        <v>25208.020357143123</v>
      </c>
      <c r="H1262" s="509">
        <f>+J1216*G1262+E1262</f>
        <v>19582.75456863744</v>
      </c>
      <c r="I1262" s="516">
        <f>+J1217*G1262+E1262</f>
        <v>19582.75456863744</v>
      </c>
      <c r="J1262" s="512">
        <f t="shared" si="114"/>
        <v>0</v>
      </c>
      <c r="K1262" s="512"/>
      <c r="L1262" s="517"/>
      <c r="M1262" s="512">
        <f t="shared" si="115"/>
        <v>0</v>
      </c>
      <c r="N1262" s="517"/>
      <c r="O1262" s="512">
        <f t="shared" si="116"/>
        <v>0</v>
      </c>
      <c r="P1262" s="512">
        <f t="shared" si="117"/>
        <v>0</v>
      </c>
      <c r="Q1262" s="473"/>
    </row>
    <row r="1263" spans="3:17">
      <c r="C1263" s="508">
        <f>IF(D1215="","-",+C1262+1)</f>
        <v>2059</v>
      </c>
      <c r="D1263" s="471">
        <f t="shared" si="118"/>
        <v>16805.346904762169</v>
      </c>
      <c r="E1263" s="515">
        <f t="shared" si="119"/>
        <v>16805.346904761907</v>
      </c>
      <c r="F1263" s="515">
        <f t="shared" si="112"/>
        <v>2.6193447411060333E-10</v>
      </c>
      <c r="G1263" s="471">
        <f t="shared" si="113"/>
        <v>8402.6734523812156</v>
      </c>
      <c r="H1263" s="509">
        <f>+J1216*G1263+E1263</f>
        <v>17731.149459387103</v>
      </c>
      <c r="I1263" s="516">
        <f>+J1217*G1263+E1263</f>
        <v>17731.149459387103</v>
      </c>
      <c r="J1263" s="512">
        <f t="shared" si="114"/>
        <v>0</v>
      </c>
      <c r="K1263" s="512"/>
      <c r="L1263" s="517"/>
      <c r="M1263" s="512">
        <f t="shared" si="115"/>
        <v>0</v>
      </c>
      <c r="N1263" s="517"/>
      <c r="O1263" s="512">
        <f t="shared" si="116"/>
        <v>0</v>
      </c>
      <c r="P1263" s="512">
        <f t="shared" si="117"/>
        <v>0</v>
      </c>
      <c r="Q1263" s="473"/>
    </row>
    <row r="1264" spans="3:17">
      <c r="C1264" s="508">
        <f>IF(D1215="","-",+C1263+1)</f>
        <v>2060</v>
      </c>
      <c r="D1264" s="471">
        <f t="shared" si="118"/>
        <v>2.6193447411060333E-10</v>
      </c>
      <c r="E1264" s="515">
        <f t="shared" si="119"/>
        <v>2.6193447411060333E-10</v>
      </c>
      <c r="F1264" s="515">
        <f t="shared" si="112"/>
        <v>0</v>
      </c>
      <c r="G1264" s="471">
        <f t="shared" si="113"/>
        <v>1.3096723705530167E-10</v>
      </c>
      <c r="H1264" s="509">
        <f>+J1216*G1264+E1264</f>
        <v>2.7636438184474732E-10</v>
      </c>
      <c r="I1264" s="516">
        <f>+J1217*G1264+E1264</f>
        <v>2.7636438184474732E-10</v>
      </c>
      <c r="J1264" s="512">
        <f t="shared" si="114"/>
        <v>0</v>
      </c>
      <c r="K1264" s="512"/>
      <c r="L1264" s="517"/>
      <c r="M1264" s="512">
        <f t="shared" si="115"/>
        <v>0</v>
      </c>
      <c r="N1264" s="517"/>
      <c r="O1264" s="512">
        <f t="shared" si="116"/>
        <v>0</v>
      </c>
      <c r="P1264" s="512">
        <f t="shared" si="117"/>
        <v>0</v>
      </c>
      <c r="Q1264" s="473"/>
    </row>
    <row r="1265" spans="3:17">
      <c r="C1265" s="508">
        <f>IF(D1215="","-",+C1264+1)</f>
        <v>2061</v>
      </c>
      <c r="D1265" s="471">
        <f t="shared" si="118"/>
        <v>0</v>
      </c>
      <c r="E1265" s="515">
        <f t="shared" si="119"/>
        <v>0</v>
      </c>
      <c r="F1265" s="515">
        <f t="shared" si="112"/>
        <v>0</v>
      </c>
      <c r="G1265" s="471">
        <f t="shared" si="113"/>
        <v>0</v>
      </c>
      <c r="H1265" s="509">
        <f>+J1216*G1265+E1265</f>
        <v>0</v>
      </c>
      <c r="I1265" s="516">
        <f>+J1217*G1265+E1265</f>
        <v>0</v>
      </c>
      <c r="J1265" s="512">
        <f t="shared" si="114"/>
        <v>0</v>
      </c>
      <c r="K1265" s="512"/>
      <c r="L1265" s="517"/>
      <c r="M1265" s="512">
        <f t="shared" si="115"/>
        <v>0</v>
      </c>
      <c r="N1265" s="517"/>
      <c r="O1265" s="512">
        <f t="shared" si="116"/>
        <v>0</v>
      </c>
      <c r="P1265" s="512">
        <f t="shared" si="117"/>
        <v>0</v>
      </c>
      <c r="Q1265" s="473"/>
    </row>
    <row r="1266" spans="3:17">
      <c r="C1266" s="508">
        <f>IF(D1215="","-",+C1265+1)</f>
        <v>2062</v>
      </c>
      <c r="D1266" s="471">
        <f t="shared" si="118"/>
        <v>0</v>
      </c>
      <c r="E1266" s="515">
        <f t="shared" si="119"/>
        <v>0</v>
      </c>
      <c r="F1266" s="515">
        <f t="shared" si="112"/>
        <v>0</v>
      </c>
      <c r="G1266" s="471">
        <f t="shared" si="113"/>
        <v>0</v>
      </c>
      <c r="H1266" s="509">
        <f>+J1216*G1266+E1266</f>
        <v>0</v>
      </c>
      <c r="I1266" s="516">
        <f>+J1217*G1266+E1266</f>
        <v>0</v>
      </c>
      <c r="J1266" s="512">
        <f t="shared" si="114"/>
        <v>0</v>
      </c>
      <c r="K1266" s="512"/>
      <c r="L1266" s="517"/>
      <c r="M1266" s="512">
        <f t="shared" si="115"/>
        <v>0</v>
      </c>
      <c r="N1266" s="517"/>
      <c r="O1266" s="512">
        <f t="shared" si="116"/>
        <v>0</v>
      </c>
      <c r="P1266" s="512">
        <f t="shared" si="117"/>
        <v>0</v>
      </c>
      <c r="Q1266" s="473"/>
    </row>
    <row r="1267" spans="3:17">
      <c r="C1267" s="508">
        <f>IF(D1215="","-",+C1266+1)</f>
        <v>2063</v>
      </c>
      <c r="D1267" s="471">
        <f t="shared" si="118"/>
        <v>0</v>
      </c>
      <c r="E1267" s="515">
        <f t="shared" si="119"/>
        <v>0</v>
      </c>
      <c r="F1267" s="515">
        <f t="shared" si="112"/>
        <v>0</v>
      </c>
      <c r="G1267" s="471">
        <f t="shared" si="113"/>
        <v>0</v>
      </c>
      <c r="H1267" s="509">
        <f>+J1216*G1267+E1267</f>
        <v>0</v>
      </c>
      <c r="I1267" s="516">
        <f>+J1217*G1267+E1267</f>
        <v>0</v>
      </c>
      <c r="J1267" s="512">
        <f t="shared" si="114"/>
        <v>0</v>
      </c>
      <c r="K1267" s="512"/>
      <c r="L1267" s="517"/>
      <c r="M1267" s="512">
        <f t="shared" si="115"/>
        <v>0</v>
      </c>
      <c r="N1267" s="517"/>
      <c r="O1267" s="512">
        <f t="shared" si="116"/>
        <v>0</v>
      </c>
      <c r="P1267" s="512">
        <f t="shared" si="117"/>
        <v>0</v>
      </c>
      <c r="Q1267" s="473"/>
    </row>
    <row r="1268" spans="3:17">
      <c r="C1268" s="508">
        <f>IF(D1215="","-",+C1267+1)</f>
        <v>2064</v>
      </c>
      <c r="D1268" s="471">
        <f t="shared" si="118"/>
        <v>0</v>
      </c>
      <c r="E1268" s="515">
        <f t="shared" si="119"/>
        <v>0</v>
      </c>
      <c r="F1268" s="515">
        <f t="shared" si="112"/>
        <v>0</v>
      </c>
      <c r="G1268" s="471">
        <f t="shared" si="113"/>
        <v>0</v>
      </c>
      <c r="H1268" s="509">
        <f>+J1216*G1268+E1268</f>
        <v>0</v>
      </c>
      <c r="I1268" s="516">
        <f>+J1217*G1268+E1268</f>
        <v>0</v>
      </c>
      <c r="J1268" s="512">
        <f t="shared" si="114"/>
        <v>0</v>
      </c>
      <c r="K1268" s="512"/>
      <c r="L1268" s="517"/>
      <c r="M1268" s="512">
        <f t="shared" si="115"/>
        <v>0</v>
      </c>
      <c r="N1268" s="517"/>
      <c r="O1268" s="512">
        <f t="shared" si="116"/>
        <v>0</v>
      </c>
      <c r="P1268" s="512">
        <f t="shared" si="117"/>
        <v>0</v>
      </c>
      <c r="Q1268" s="473"/>
    </row>
    <row r="1269" spans="3:17">
      <c r="C1269" s="508">
        <f>IF(D1215="","-",+C1268+1)</f>
        <v>2065</v>
      </c>
      <c r="D1269" s="471">
        <f t="shared" si="118"/>
        <v>0</v>
      </c>
      <c r="E1269" s="515">
        <f t="shared" si="119"/>
        <v>0</v>
      </c>
      <c r="F1269" s="515">
        <f t="shared" si="112"/>
        <v>0</v>
      </c>
      <c r="G1269" s="471">
        <f t="shared" si="113"/>
        <v>0</v>
      </c>
      <c r="H1269" s="509">
        <f>+J1216*G1269+E1269</f>
        <v>0</v>
      </c>
      <c r="I1269" s="516">
        <f>+J1217*G1269+E1269</f>
        <v>0</v>
      </c>
      <c r="J1269" s="512">
        <f t="shared" si="114"/>
        <v>0</v>
      </c>
      <c r="K1269" s="512"/>
      <c r="L1269" s="517"/>
      <c r="M1269" s="512">
        <f t="shared" si="115"/>
        <v>0</v>
      </c>
      <c r="N1269" s="517"/>
      <c r="O1269" s="512">
        <f t="shared" si="116"/>
        <v>0</v>
      </c>
      <c r="P1269" s="512">
        <f t="shared" si="117"/>
        <v>0</v>
      </c>
      <c r="Q1269" s="473"/>
    </row>
    <row r="1270" spans="3:17">
      <c r="C1270" s="508">
        <f>IF(D1215="","-",+C1269+1)</f>
        <v>2066</v>
      </c>
      <c r="D1270" s="471">
        <f t="shared" si="118"/>
        <v>0</v>
      </c>
      <c r="E1270" s="515">
        <f t="shared" si="119"/>
        <v>0</v>
      </c>
      <c r="F1270" s="515">
        <f t="shared" si="112"/>
        <v>0</v>
      </c>
      <c r="G1270" s="471">
        <f t="shared" si="113"/>
        <v>0</v>
      </c>
      <c r="H1270" s="509">
        <f>+J1216*G1270+E1270</f>
        <v>0</v>
      </c>
      <c r="I1270" s="516">
        <f>+J1217*G1270+E1270</f>
        <v>0</v>
      </c>
      <c r="J1270" s="512">
        <f t="shared" si="114"/>
        <v>0</v>
      </c>
      <c r="K1270" s="512"/>
      <c r="L1270" s="517"/>
      <c r="M1270" s="512">
        <f t="shared" si="115"/>
        <v>0</v>
      </c>
      <c r="N1270" s="517"/>
      <c r="O1270" s="512">
        <f t="shared" si="116"/>
        <v>0</v>
      </c>
      <c r="P1270" s="512">
        <f t="shared" si="117"/>
        <v>0</v>
      </c>
      <c r="Q1270" s="473"/>
    </row>
    <row r="1271" spans="3:17">
      <c r="C1271" s="508">
        <f>IF(D1215="","-",+C1270+1)</f>
        <v>2067</v>
      </c>
      <c r="D1271" s="471">
        <f t="shared" si="118"/>
        <v>0</v>
      </c>
      <c r="E1271" s="515">
        <f t="shared" si="119"/>
        <v>0</v>
      </c>
      <c r="F1271" s="515">
        <f t="shared" si="112"/>
        <v>0</v>
      </c>
      <c r="G1271" s="471">
        <f t="shared" si="113"/>
        <v>0</v>
      </c>
      <c r="H1271" s="509">
        <f>+J1216*G1271+E1271</f>
        <v>0</v>
      </c>
      <c r="I1271" s="516">
        <f>+J1217*G1271+E1271</f>
        <v>0</v>
      </c>
      <c r="J1271" s="512">
        <f t="shared" si="114"/>
        <v>0</v>
      </c>
      <c r="K1271" s="512"/>
      <c r="L1271" s="517"/>
      <c r="M1271" s="512">
        <f t="shared" si="115"/>
        <v>0</v>
      </c>
      <c r="N1271" s="517"/>
      <c r="O1271" s="512">
        <f t="shared" si="116"/>
        <v>0</v>
      </c>
      <c r="P1271" s="512">
        <f t="shared" si="117"/>
        <v>0</v>
      </c>
      <c r="Q1271" s="473"/>
    </row>
    <row r="1272" spans="3:17">
      <c r="C1272" s="508">
        <f>IF(D1215="","-",+C1271+1)</f>
        <v>2068</v>
      </c>
      <c r="D1272" s="471">
        <f t="shared" si="118"/>
        <v>0</v>
      </c>
      <c r="E1272" s="515">
        <f t="shared" si="119"/>
        <v>0</v>
      </c>
      <c r="F1272" s="515">
        <f t="shared" si="112"/>
        <v>0</v>
      </c>
      <c r="G1272" s="471">
        <f t="shared" si="113"/>
        <v>0</v>
      </c>
      <c r="H1272" s="509">
        <f>+J1216*G1272+E1272</f>
        <v>0</v>
      </c>
      <c r="I1272" s="516">
        <f>+J1217*G1272+E1272</f>
        <v>0</v>
      </c>
      <c r="J1272" s="512">
        <f t="shared" si="114"/>
        <v>0</v>
      </c>
      <c r="K1272" s="512"/>
      <c r="L1272" s="517"/>
      <c r="M1272" s="512">
        <f t="shared" si="115"/>
        <v>0</v>
      </c>
      <c r="N1272" s="517"/>
      <c r="O1272" s="512">
        <f t="shared" si="116"/>
        <v>0</v>
      </c>
      <c r="P1272" s="512">
        <f t="shared" si="117"/>
        <v>0</v>
      </c>
      <c r="Q1272" s="473"/>
    </row>
    <row r="1273" spans="3:17">
      <c r="C1273" s="508">
        <f>IF(D1215="","-",+C1272+1)</f>
        <v>2069</v>
      </c>
      <c r="D1273" s="471">
        <f t="shared" si="118"/>
        <v>0</v>
      </c>
      <c r="E1273" s="515">
        <f t="shared" si="119"/>
        <v>0</v>
      </c>
      <c r="F1273" s="515">
        <f t="shared" si="112"/>
        <v>0</v>
      </c>
      <c r="G1273" s="471">
        <f t="shared" si="113"/>
        <v>0</v>
      </c>
      <c r="H1273" s="509">
        <f>+J1216*G1273+E1273</f>
        <v>0</v>
      </c>
      <c r="I1273" s="516">
        <f>+J1217*G1273+E1273</f>
        <v>0</v>
      </c>
      <c r="J1273" s="512">
        <f t="shared" si="114"/>
        <v>0</v>
      </c>
      <c r="K1273" s="512"/>
      <c r="L1273" s="517"/>
      <c r="M1273" s="512">
        <f t="shared" si="115"/>
        <v>0</v>
      </c>
      <c r="N1273" s="517"/>
      <c r="O1273" s="512">
        <f t="shared" si="116"/>
        <v>0</v>
      </c>
      <c r="P1273" s="512">
        <f t="shared" si="117"/>
        <v>0</v>
      </c>
      <c r="Q1273" s="473"/>
    </row>
    <row r="1274" spans="3:17">
      <c r="C1274" s="508">
        <f>IF(D1215="","-",+C1273+1)</f>
        <v>2070</v>
      </c>
      <c r="D1274" s="471">
        <f t="shared" si="118"/>
        <v>0</v>
      </c>
      <c r="E1274" s="515">
        <f t="shared" si="119"/>
        <v>0</v>
      </c>
      <c r="F1274" s="515">
        <f t="shared" si="112"/>
        <v>0</v>
      </c>
      <c r="G1274" s="471">
        <f t="shared" si="113"/>
        <v>0</v>
      </c>
      <c r="H1274" s="509">
        <f>+J1216*G1274+E1274</f>
        <v>0</v>
      </c>
      <c r="I1274" s="516">
        <f>+J1217*G1274+E1274</f>
        <v>0</v>
      </c>
      <c r="J1274" s="512">
        <f t="shared" si="114"/>
        <v>0</v>
      </c>
      <c r="K1274" s="512"/>
      <c r="L1274" s="517"/>
      <c r="M1274" s="512">
        <f t="shared" si="115"/>
        <v>0</v>
      </c>
      <c r="N1274" s="517"/>
      <c r="O1274" s="512">
        <f t="shared" si="116"/>
        <v>0</v>
      </c>
      <c r="P1274" s="512">
        <f t="shared" si="117"/>
        <v>0</v>
      </c>
      <c r="Q1274" s="473"/>
    </row>
    <row r="1275" spans="3:17">
      <c r="C1275" s="508">
        <f>IF(D1215="","-",+C1274+1)</f>
        <v>2071</v>
      </c>
      <c r="D1275" s="471">
        <f t="shared" si="118"/>
        <v>0</v>
      </c>
      <c r="E1275" s="515">
        <f t="shared" si="119"/>
        <v>0</v>
      </c>
      <c r="F1275" s="515">
        <f t="shared" si="112"/>
        <v>0</v>
      </c>
      <c r="G1275" s="471">
        <f t="shared" si="113"/>
        <v>0</v>
      </c>
      <c r="H1275" s="509">
        <f>+J1216*G1275+E1275</f>
        <v>0</v>
      </c>
      <c r="I1275" s="516">
        <f>+J1217*G1275+E1275</f>
        <v>0</v>
      </c>
      <c r="J1275" s="512">
        <f t="shared" si="114"/>
        <v>0</v>
      </c>
      <c r="K1275" s="512"/>
      <c r="L1275" s="517"/>
      <c r="M1275" s="512">
        <f t="shared" si="115"/>
        <v>0</v>
      </c>
      <c r="N1275" s="517"/>
      <c r="O1275" s="512">
        <f t="shared" si="116"/>
        <v>0</v>
      </c>
      <c r="P1275" s="512">
        <f t="shared" si="117"/>
        <v>0</v>
      </c>
      <c r="Q1275" s="473"/>
    </row>
    <row r="1276" spans="3:17">
      <c r="C1276" s="508">
        <f>IF(D1215="","-",+C1275+1)</f>
        <v>2072</v>
      </c>
      <c r="D1276" s="471">
        <f t="shared" si="118"/>
        <v>0</v>
      </c>
      <c r="E1276" s="515">
        <f t="shared" si="119"/>
        <v>0</v>
      </c>
      <c r="F1276" s="515">
        <f t="shared" si="112"/>
        <v>0</v>
      </c>
      <c r="G1276" s="471">
        <f t="shared" si="113"/>
        <v>0</v>
      </c>
      <c r="H1276" s="509">
        <f>+J1216*G1276+E1276</f>
        <v>0</v>
      </c>
      <c r="I1276" s="516">
        <f>+J1217*G1276+E1276</f>
        <v>0</v>
      </c>
      <c r="J1276" s="512">
        <f t="shared" si="114"/>
        <v>0</v>
      </c>
      <c r="K1276" s="512"/>
      <c r="L1276" s="517"/>
      <c r="M1276" s="512">
        <f t="shared" si="115"/>
        <v>0</v>
      </c>
      <c r="N1276" s="517"/>
      <c r="O1276" s="512">
        <f t="shared" si="116"/>
        <v>0</v>
      </c>
      <c r="P1276" s="512">
        <f t="shared" si="117"/>
        <v>0</v>
      </c>
      <c r="Q1276" s="473"/>
    </row>
    <row r="1277" spans="3:17">
      <c r="C1277" s="508">
        <f>IF(D1215="","-",+C1276+1)</f>
        <v>2073</v>
      </c>
      <c r="D1277" s="471">
        <f t="shared" si="118"/>
        <v>0</v>
      </c>
      <c r="E1277" s="515">
        <f t="shared" si="119"/>
        <v>0</v>
      </c>
      <c r="F1277" s="515">
        <f t="shared" si="112"/>
        <v>0</v>
      </c>
      <c r="G1277" s="471">
        <f t="shared" si="113"/>
        <v>0</v>
      </c>
      <c r="H1277" s="509">
        <f>+J1216*G1277+E1277</f>
        <v>0</v>
      </c>
      <c r="I1277" s="516">
        <f>+J1217*G1277+E1277</f>
        <v>0</v>
      </c>
      <c r="J1277" s="512">
        <f t="shared" si="114"/>
        <v>0</v>
      </c>
      <c r="K1277" s="512"/>
      <c r="L1277" s="517"/>
      <c r="M1277" s="512">
        <f t="shared" si="115"/>
        <v>0</v>
      </c>
      <c r="N1277" s="517"/>
      <c r="O1277" s="512">
        <f t="shared" si="116"/>
        <v>0</v>
      </c>
      <c r="P1277" s="512">
        <f t="shared" si="117"/>
        <v>0</v>
      </c>
      <c r="Q1277" s="473"/>
    </row>
    <row r="1278" spans="3:17">
      <c r="C1278" s="508">
        <f>IF(D1215="","-",+C1277+1)</f>
        <v>2074</v>
      </c>
      <c r="D1278" s="471">
        <f t="shared" si="118"/>
        <v>0</v>
      </c>
      <c r="E1278" s="515">
        <f t="shared" si="119"/>
        <v>0</v>
      </c>
      <c r="F1278" s="515">
        <f t="shared" si="112"/>
        <v>0</v>
      </c>
      <c r="G1278" s="471">
        <f t="shared" si="113"/>
        <v>0</v>
      </c>
      <c r="H1278" s="509">
        <f>+J1216*G1278+E1278</f>
        <v>0</v>
      </c>
      <c r="I1278" s="516">
        <f>+J1217*G1278+E1278</f>
        <v>0</v>
      </c>
      <c r="J1278" s="512">
        <f t="shared" si="114"/>
        <v>0</v>
      </c>
      <c r="K1278" s="512"/>
      <c r="L1278" s="517"/>
      <c r="M1278" s="512">
        <f t="shared" si="115"/>
        <v>0</v>
      </c>
      <c r="N1278" s="517"/>
      <c r="O1278" s="512">
        <f t="shared" si="116"/>
        <v>0</v>
      </c>
      <c r="P1278" s="512">
        <f t="shared" si="117"/>
        <v>0</v>
      </c>
      <c r="Q1278" s="473"/>
    </row>
    <row r="1279" spans="3:17">
      <c r="C1279" s="508">
        <f>IF(D1215="","-",+C1278+1)</f>
        <v>2075</v>
      </c>
      <c r="D1279" s="471">
        <f t="shared" si="118"/>
        <v>0</v>
      </c>
      <c r="E1279" s="515">
        <f t="shared" si="119"/>
        <v>0</v>
      </c>
      <c r="F1279" s="515">
        <f t="shared" si="112"/>
        <v>0</v>
      </c>
      <c r="G1279" s="471">
        <f t="shared" si="113"/>
        <v>0</v>
      </c>
      <c r="H1279" s="509">
        <f>+J1216*G1279+E1279</f>
        <v>0</v>
      </c>
      <c r="I1279" s="516">
        <f>+J1217*G1279+E1279</f>
        <v>0</v>
      </c>
      <c r="J1279" s="512">
        <f t="shared" si="114"/>
        <v>0</v>
      </c>
      <c r="K1279" s="512"/>
      <c r="L1279" s="517"/>
      <c r="M1279" s="512">
        <f t="shared" si="115"/>
        <v>0</v>
      </c>
      <c r="N1279" s="517"/>
      <c r="O1279" s="512">
        <f t="shared" si="116"/>
        <v>0</v>
      </c>
      <c r="P1279" s="512">
        <f t="shared" si="117"/>
        <v>0</v>
      </c>
      <c r="Q1279" s="473"/>
    </row>
    <row r="1280" spans="3:17" ht="13.5" thickBot="1">
      <c r="C1280" s="520">
        <f>IF(D1215="","-",+C1279+1)</f>
        <v>2076</v>
      </c>
      <c r="D1280" s="521">
        <f t="shared" si="118"/>
        <v>0</v>
      </c>
      <c r="E1280" s="988">
        <f t="shared" si="119"/>
        <v>0</v>
      </c>
      <c r="F1280" s="522">
        <f t="shared" si="112"/>
        <v>0</v>
      </c>
      <c r="G1280" s="521">
        <f t="shared" si="113"/>
        <v>0</v>
      </c>
      <c r="H1280" s="523">
        <f>+J1216*G1280+E1280</f>
        <v>0</v>
      </c>
      <c r="I1280" s="523">
        <f>+J1217*G1280+E1280</f>
        <v>0</v>
      </c>
      <c r="J1280" s="524">
        <f t="shared" si="114"/>
        <v>0</v>
      </c>
      <c r="K1280" s="512"/>
      <c r="L1280" s="525"/>
      <c r="M1280" s="524">
        <f t="shared" si="115"/>
        <v>0</v>
      </c>
      <c r="N1280" s="525"/>
      <c r="O1280" s="524">
        <f t="shared" si="116"/>
        <v>0</v>
      </c>
      <c r="P1280" s="524">
        <f t="shared" si="117"/>
        <v>0</v>
      </c>
      <c r="Q1280" s="473"/>
    </row>
    <row r="1281" spans="1:17">
      <c r="C1281" s="471" t="s">
        <v>288</v>
      </c>
      <c r="D1281" s="469"/>
      <c r="E1281" s="469">
        <f>SUM(E1221:E1280)</f>
        <v>705824.57</v>
      </c>
      <c r="F1281" s="469"/>
      <c r="G1281" s="469"/>
      <c r="H1281" s="469">
        <f>SUM(H1221:H1280)</f>
        <v>2416707.6909473133</v>
      </c>
      <c r="I1281" s="469">
        <f>SUM(I1221:I1280)</f>
        <v>2416707.6909473133</v>
      </c>
      <c r="J1281" s="469">
        <f>SUM(J1221:J1280)</f>
        <v>0</v>
      </c>
      <c r="K1281" s="469"/>
      <c r="L1281" s="469"/>
      <c r="M1281" s="469"/>
      <c r="N1281" s="469"/>
      <c r="O1281" s="469"/>
      <c r="Q1281" s="469"/>
    </row>
    <row r="1282" spans="1:17">
      <c r="D1282" s="78"/>
      <c r="E1282" s="4"/>
      <c r="F1282" s="4"/>
      <c r="G1282" s="4"/>
      <c r="H1282" s="4"/>
      <c r="I1282" s="454"/>
      <c r="J1282" s="454"/>
      <c r="K1282" s="469"/>
      <c r="L1282" s="454"/>
      <c r="M1282" s="454"/>
      <c r="N1282" s="454"/>
      <c r="O1282" s="454"/>
      <c r="Q1282" s="469"/>
    </row>
    <row r="1283" spans="1:17">
      <c r="C1283" s="4" t="s">
        <v>600</v>
      </c>
      <c r="D1283" s="78"/>
      <c r="E1283" s="4"/>
      <c r="F1283" s="4"/>
      <c r="G1283" s="4"/>
      <c r="H1283" s="4"/>
      <c r="I1283" s="454"/>
      <c r="J1283" s="454"/>
      <c r="K1283" s="469"/>
      <c r="L1283" s="454"/>
      <c r="M1283" s="454"/>
      <c r="N1283" s="454"/>
      <c r="O1283" s="454"/>
      <c r="Q1283" s="469"/>
    </row>
    <row r="1284" spans="1:17">
      <c r="D1284" s="78"/>
      <c r="E1284" s="4"/>
      <c r="F1284" s="4"/>
      <c r="G1284" s="4"/>
      <c r="H1284" s="4"/>
      <c r="I1284" s="454"/>
      <c r="J1284" s="454"/>
      <c r="K1284" s="469"/>
      <c r="L1284" s="454"/>
      <c r="M1284" s="454"/>
      <c r="N1284" s="454"/>
      <c r="O1284" s="454"/>
      <c r="Q1284" s="469"/>
    </row>
    <row r="1285" spans="1:17">
      <c r="C1285" s="4" t="s">
        <v>601</v>
      </c>
      <c r="D1285" s="471"/>
      <c r="E1285" s="471"/>
      <c r="F1285" s="471"/>
      <c r="G1285" s="471"/>
      <c r="H1285" s="469"/>
      <c r="I1285" s="469"/>
      <c r="J1285" s="473"/>
      <c r="K1285" s="473"/>
      <c r="L1285" s="473"/>
      <c r="M1285" s="473"/>
      <c r="N1285" s="473"/>
      <c r="O1285" s="473"/>
      <c r="Q1285" s="473"/>
    </row>
    <row r="1286" spans="1:17">
      <c r="C1286" s="4" t="s">
        <v>476</v>
      </c>
      <c r="D1286" s="471"/>
      <c r="E1286" s="471"/>
      <c r="F1286" s="471"/>
      <c r="G1286" s="471"/>
      <c r="H1286" s="469"/>
      <c r="I1286" s="469"/>
      <c r="J1286" s="473"/>
      <c r="K1286" s="473"/>
      <c r="L1286" s="473"/>
      <c r="M1286" s="473"/>
      <c r="N1286" s="473"/>
      <c r="O1286" s="473"/>
      <c r="Q1286" s="473"/>
    </row>
    <row r="1287" spans="1:17">
      <c r="C1287" s="4" t="s">
        <v>289</v>
      </c>
      <c r="D1287" s="471"/>
      <c r="E1287" s="471"/>
      <c r="F1287" s="471"/>
      <c r="G1287" s="471"/>
      <c r="H1287" s="469"/>
      <c r="I1287" s="469"/>
      <c r="J1287" s="473"/>
      <c r="K1287" s="473"/>
      <c r="L1287" s="473"/>
      <c r="M1287" s="473"/>
      <c r="N1287" s="473"/>
      <c r="O1287" s="473"/>
      <c r="Q1287" s="473"/>
    </row>
    <row r="1289" spans="1:17" ht="20.25">
      <c r="A1289" s="413" t="s">
        <v>767</v>
      </c>
      <c r="B1289" s="4"/>
      <c r="C1289" s="4"/>
      <c r="D1289" s="78"/>
      <c r="E1289" s="4"/>
      <c r="F1289" s="80"/>
      <c r="G1289" s="80"/>
      <c r="H1289" s="4"/>
      <c r="I1289" s="454"/>
      <c r="L1289" s="11"/>
      <c r="M1289" s="11"/>
      <c r="N1289" s="11"/>
      <c r="O1289" s="11" t="str">
        <f>"Page "&amp;SUM(Q$3:Q1289)&amp;" of "</f>
        <v xml:space="preserve">Page 16 of </v>
      </c>
      <c r="P1289" s="414">
        <f>COUNT(Q$8:Q$58123)</f>
        <v>16</v>
      </c>
      <c r="Q1289" s="544">
        <v>1</v>
      </c>
    </row>
    <row r="1290" spans="1:17">
      <c r="B1290" s="4"/>
      <c r="C1290" s="4"/>
      <c r="D1290" s="78"/>
      <c r="E1290" s="4"/>
      <c r="F1290" s="4"/>
      <c r="G1290" s="4"/>
      <c r="H1290" s="4"/>
      <c r="I1290" s="454"/>
      <c r="J1290" s="4"/>
      <c r="K1290" s="4"/>
    </row>
    <row r="1291" spans="1:17" ht="18">
      <c r="B1291" s="415" t="s">
        <v>174</v>
      </c>
      <c r="C1291" s="474" t="s">
        <v>290</v>
      </c>
      <c r="D1291" s="78"/>
      <c r="E1291" s="4"/>
      <c r="F1291" s="4"/>
      <c r="G1291" s="4"/>
      <c r="H1291" s="4"/>
      <c r="I1291" s="454"/>
      <c r="J1291" s="454"/>
      <c r="K1291" s="469"/>
      <c r="L1291" s="454"/>
      <c r="M1291" s="454"/>
      <c r="N1291" s="454"/>
      <c r="O1291" s="454"/>
      <c r="Q1291" s="469"/>
    </row>
    <row r="1292" spans="1:17" ht="18.75">
      <c r="B1292" s="415"/>
      <c r="C1292" s="13"/>
      <c r="D1292" s="78"/>
      <c r="E1292" s="4"/>
      <c r="F1292" s="4"/>
      <c r="G1292" s="4"/>
      <c r="H1292" s="4"/>
      <c r="I1292" s="454"/>
      <c r="J1292" s="454"/>
      <c r="K1292" s="469"/>
      <c r="L1292" s="454"/>
      <c r="M1292" s="454"/>
      <c r="N1292" s="454"/>
      <c r="O1292" s="454"/>
      <c r="Q1292" s="469"/>
    </row>
    <row r="1293" spans="1:17" ht="18.75">
      <c r="B1293" s="415"/>
      <c r="C1293" s="13" t="s">
        <v>291</v>
      </c>
      <c r="D1293" s="78"/>
      <c r="E1293" s="4"/>
      <c r="F1293" s="4"/>
      <c r="G1293" s="4"/>
      <c r="H1293" s="4"/>
      <c r="I1293" s="454"/>
      <c r="J1293" s="454"/>
      <c r="K1293" s="469"/>
      <c r="L1293" s="454"/>
      <c r="M1293" s="454"/>
      <c r="N1293" s="454"/>
      <c r="O1293" s="454"/>
      <c r="Q1293" s="469"/>
    </row>
    <row r="1294" spans="1:17" ht="15.75" thickBot="1">
      <c r="C1294" s="250"/>
      <c r="D1294" s="78"/>
      <c r="E1294" s="4"/>
      <c r="F1294" s="4"/>
      <c r="G1294" s="4"/>
      <c r="H1294" s="4"/>
      <c r="I1294" s="454"/>
      <c r="J1294" s="454"/>
      <c r="K1294" s="469"/>
      <c r="L1294" s="454"/>
      <c r="M1294" s="454"/>
      <c r="N1294" s="454"/>
      <c r="O1294" s="454"/>
      <c r="Q1294" s="469"/>
    </row>
    <row r="1295" spans="1:17" ht="15.75">
      <c r="C1295" s="416" t="s">
        <v>292</v>
      </c>
      <c r="D1295" s="78"/>
      <c r="E1295" s="4"/>
      <c r="F1295" s="4"/>
      <c r="G1295" s="4"/>
      <c r="H1295" s="642"/>
      <c r="I1295" s="4" t="s">
        <v>271</v>
      </c>
      <c r="J1295" s="4"/>
      <c r="K1295" s="4"/>
      <c r="L1295" s="545">
        <f>+J1301</f>
        <v>2025</v>
      </c>
      <c r="M1295" s="529" t="s">
        <v>254</v>
      </c>
      <c r="N1295" s="529" t="s">
        <v>255</v>
      </c>
      <c r="O1295" s="530" t="s">
        <v>256</v>
      </c>
    </row>
    <row r="1296" spans="1:17" ht="15.75">
      <c r="C1296" s="416"/>
      <c r="D1296" s="78"/>
      <c r="E1296" s="4"/>
      <c r="F1296" s="4"/>
      <c r="H1296" s="4"/>
      <c r="I1296" s="478"/>
      <c r="J1296" s="478"/>
      <c r="K1296" s="479"/>
      <c r="L1296" s="546" t="s">
        <v>455</v>
      </c>
      <c r="M1296" s="547">
        <f>VLOOKUP(J1301,C1308:P1367,10)</f>
        <v>17756.997968926677</v>
      </c>
      <c r="N1296" s="547">
        <f>VLOOKUP(J1301,C1308:P1367,12)</f>
        <v>17756.997968926677</v>
      </c>
      <c r="O1296" s="548">
        <f>+N1296-M1296</f>
        <v>0</v>
      </c>
      <c r="Q1296" s="479"/>
    </row>
    <row r="1297" spans="1:17">
      <c r="C1297" s="481" t="s">
        <v>293</v>
      </c>
      <c r="D1297" s="1304" t="s">
        <v>1064</v>
      </c>
      <c r="E1297" s="1304"/>
      <c r="F1297" s="1304"/>
      <c r="G1297" s="1304"/>
      <c r="H1297" s="1304"/>
      <c r="I1297" s="454"/>
      <c r="J1297" s="454"/>
      <c r="K1297" s="469"/>
      <c r="L1297" s="546" t="s">
        <v>456</v>
      </c>
      <c r="M1297" s="549">
        <f>VLOOKUP(J1301,C1308:P1367,6)</f>
        <v>17811.208950248827</v>
      </c>
      <c r="N1297" s="549">
        <f>VLOOKUP(J1301,C1308:P1367,7)</f>
        <v>17811.208950248827</v>
      </c>
      <c r="O1297" s="550">
        <f>+N1297-M1297</f>
        <v>0</v>
      </c>
      <c r="Q1297" s="469"/>
    </row>
    <row r="1298" spans="1:17" ht="13.5" thickBot="1">
      <c r="C1298" s="483"/>
      <c r="D1298" s="484"/>
      <c r="E1298" s="471"/>
      <c r="F1298" s="471"/>
      <c r="G1298" s="471"/>
      <c r="H1298" s="485"/>
      <c r="I1298" s="454"/>
      <c r="J1298" s="454"/>
      <c r="K1298" s="469"/>
      <c r="L1298" s="495" t="s">
        <v>457</v>
      </c>
      <c r="M1298" s="551">
        <f>+M1297-M1296</f>
        <v>54.210981322150474</v>
      </c>
      <c r="N1298" s="551">
        <f>+N1297-N1296</f>
        <v>54.210981322150474</v>
      </c>
      <c r="O1298" s="552">
        <f>+O1297-O1296</f>
        <v>0</v>
      </c>
      <c r="Q1298" s="469"/>
    </row>
    <row r="1299" spans="1:17" ht="13.5" thickBot="1">
      <c r="C1299" s="483"/>
      <c r="D1299" s="4"/>
      <c r="E1299" s="485"/>
      <c r="F1299" s="485"/>
      <c r="G1299" s="485"/>
      <c r="H1299" s="485"/>
      <c r="I1299" s="485"/>
      <c r="J1299" s="485"/>
      <c r="K1299" s="485"/>
      <c r="L1299" s="485"/>
      <c r="M1299" s="485"/>
      <c r="N1299" s="485"/>
      <c r="O1299" s="485"/>
      <c r="Q1299" s="485"/>
    </row>
    <row r="1300" spans="1:17" ht="13.5" thickBot="1">
      <c r="C1300" s="487" t="s">
        <v>294</v>
      </c>
      <c r="D1300" s="488"/>
      <c r="E1300" s="488"/>
      <c r="F1300" s="488"/>
      <c r="G1300" s="488"/>
      <c r="H1300" s="488"/>
      <c r="I1300" s="488"/>
      <c r="J1300" s="488"/>
      <c r="Q1300"/>
    </row>
    <row r="1301" spans="1:17" ht="15">
      <c r="A1301" s="486"/>
      <c r="C1301" s="490" t="s">
        <v>272</v>
      </c>
      <c r="D1301" s="941">
        <v>151746.60999999999</v>
      </c>
      <c r="E1301" s="4" t="s">
        <v>273</v>
      </c>
      <c r="H1301" s="78"/>
      <c r="I1301" s="78"/>
      <c r="J1301" s="491">
        <f>$J$95</f>
        <v>2025</v>
      </c>
      <c r="K1301" s="134"/>
      <c r="L1301" s="1305" t="s">
        <v>274</v>
      </c>
      <c r="M1301" s="1305"/>
      <c r="N1301" s="1305"/>
      <c r="O1301" s="1305"/>
      <c r="Q1301" s="134"/>
    </row>
    <row r="1302" spans="1:17">
      <c r="A1302" s="486"/>
      <c r="C1302" s="490" t="s">
        <v>275</v>
      </c>
      <c r="D1302" s="644">
        <v>2019</v>
      </c>
      <c r="E1302" s="490" t="s">
        <v>276</v>
      </c>
      <c r="F1302" s="78"/>
      <c r="G1302" s="78"/>
      <c r="I1302"/>
      <c r="J1302" s="647">
        <v>0</v>
      </c>
      <c r="K1302" s="492"/>
      <c r="L1302" s="469" t="s">
        <v>475</v>
      </c>
      <c r="Q1302" s="492"/>
    </row>
    <row r="1303" spans="1:17">
      <c r="A1303" s="486"/>
      <c r="C1303" s="490" t="s">
        <v>277</v>
      </c>
      <c r="D1303" s="942">
        <v>2</v>
      </c>
      <c r="E1303" s="490" t="s">
        <v>278</v>
      </c>
      <c r="F1303" s="78"/>
      <c r="G1303" s="78"/>
      <c r="I1303"/>
      <c r="J1303" s="493">
        <f>$F$70</f>
        <v>0.11017952320434825</v>
      </c>
      <c r="K1303" s="80"/>
      <c r="L1303" s="4" t="str">
        <f>"          INPUT TRUE-UP ARR (WITH &amp; WITHOUT INCENTIVES) FROM EACH PRIOR YEAR"</f>
        <v xml:space="preserve">          INPUT TRUE-UP ARR (WITH &amp; WITHOUT INCENTIVES) FROM EACH PRIOR YEAR</v>
      </c>
      <c r="Q1303" s="80"/>
    </row>
    <row r="1304" spans="1:17">
      <c r="A1304" s="486"/>
      <c r="C1304" s="490" t="s">
        <v>279</v>
      </c>
      <c r="D1304" s="494">
        <f>H79</f>
        <v>42</v>
      </c>
      <c r="E1304" s="490" t="s">
        <v>280</v>
      </c>
      <c r="F1304" s="78"/>
      <c r="G1304" s="78"/>
      <c r="I1304"/>
      <c r="J1304" s="493">
        <f>IF(H1295="",J1303,$F$69)</f>
        <v>0.11017952320434825</v>
      </c>
      <c r="K1304" s="80"/>
      <c r="L1304" s="4" t="s">
        <v>362</v>
      </c>
      <c r="M1304" s="80"/>
      <c r="N1304" s="80"/>
      <c r="O1304" s="80"/>
      <c r="Q1304" s="80"/>
    </row>
    <row r="1305" spans="1:17" ht="13.5" thickBot="1">
      <c r="A1305" s="486"/>
      <c r="C1305" s="490" t="s">
        <v>281</v>
      </c>
      <c r="D1305" s="646" t="s">
        <v>929</v>
      </c>
      <c r="E1305" s="495" t="s">
        <v>282</v>
      </c>
      <c r="F1305" s="496"/>
      <c r="G1305" s="496"/>
      <c r="H1305" s="497"/>
      <c r="I1305" s="497"/>
      <c r="J1305" s="482">
        <f>IF(D1301=0,0,D1301/D1304)</f>
        <v>3613.0145238095233</v>
      </c>
      <c r="K1305" s="469"/>
      <c r="L1305" s="469" t="s">
        <v>363</v>
      </c>
      <c r="M1305" s="469"/>
      <c r="N1305" s="469"/>
      <c r="O1305" s="469"/>
      <c r="Q1305" s="469"/>
    </row>
    <row r="1306" spans="1:17" ht="38.25">
      <c r="A1306" s="12"/>
      <c r="B1306" s="12"/>
      <c r="C1306" s="498" t="s">
        <v>272</v>
      </c>
      <c r="D1306" s="499" t="s">
        <v>283</v>
      </c>
      <c r="E1306" s="500" t="s">
        <v>284</v>
      </c>
      <c r="F1306" s="499" t="s">
        <v>285</v>
      </c>
      <c r="G1306" s="499" t="s">
        <v>458</v>
      </c>
      <c r="H1306" s="500" t="s">
        <v>356</v>
      </c>
      <c r="I1306" s="501" t="s">
        <v>356</v>
      </c>
      <c r="J1306" s="498" t="s">
        <v>295</v>
      </c>
      <c r="K1306" s="502"/>
      <c r="L1306" s="500" t="s">
        <v>358</v>
      </c>
      <c r="M1306" s="500" t="s">
        <v>364</v>
      </c>
      <c r="N1306" s="500" t="s">
        <v>358</v>
      </c>
      <c r="O1306" s="500" t="s">
        <v>366</v>
      </c>
      <c r="P1306" s="500" t="s">
        <v>286</v>
      </c>
      <c r="Q1306" s="127"/>
    </row>
    <row r="1307" spans="1:17" ht="13.5" thickBot="1">
      <c r="C1307" s="503" t="s">
        <v>177</v>
      </c>
      <c r="D1307" s="504" t="s">
        <v>178</v>
      </c>
      <c r="E1307" s="503" t="s">
        <v>37</v>
      </c>
      <c r="F1307" s="504" t="s">
        <v>178</v>
      </c>
      <c r="G1307" s="504" t="s">
        <v>178</v>
      </c>
      <c r="H1307" s="505" t="s">
        <v>298</v>
      </c>
      <c r="I1307" s="506" t="s">
        <v>300</v>
      </c>
      <c r="J1307" s="503" t="s">
        <v>389</v>
      </c>
      <c r="K1307" s="507"/>
      <c r="L1307" s="505" t="s">
        <v>287</v>
      </c>
      <c r="M1307" s="505" t="s">
        <v>287</v>
      </c>
      <c r="N1307" s="505" t="s">
        <v>467</v>
      </c>
      <c r="O1307" s="505" t="s">
        <v>467</v>
      </c>
      <c r="P1307" s="505" t="s">
        <v>467</v>
      </c>
      <c r="Q1307" s="134"/>
    </row>
    <row r="1308" spans="1:17">
      <c r="C1308" s="508">
        <f>IF(D1302= "","-",D1302)</f>
        <v>2019</v>
      </c>
      <c r="D1308" s="955">
        <f>+D1301</f>
        <v>151746.60999999999</v>
      </c>
      <c r="E1308" s="509">
        <f>+J1305/12*(12-D1303)</f>
        <v>3010.845436507936</v>
      </c>
      <c r="F1308" s="553">
        <f t="shared" ref="F1308:F1367" si="120">+D1308-E1308</f>
        <v>148735.76456349206</v>
      </c>
      <c r="G1308" s="471">
        <f t="shared" ref="G1308:G1367" si="121">+(D1308+F1308)/2</f>
        <v>150241.18728174601</v>
      </c>
      <c r="H1308" s="510">
        <f>+J1303*G1308+E1308</f>
        <v>19564.347816865898</v>
      </c>
      <c r="I1308" s="511">
        <f>+J1304*G1308+E1308</f>
        <v>19564.347816865898</v>
      </c>
      <c r="J1308" s="512">
        <f t="shared" ref="J1308:J1367" si="122">+I1308-H1308</f>
        <v>0</v>
      </c>
      <c r="K1308" s="512"/>
      <c r="L1308" s="513">
        <v>0</v>
      </c>
      <c r="M1308" s="554">
        <f t="shared" ref="M1308:M1367" si="123">IF(L1308&lt;&gt;0,+H1308-L1308,0)</f>
        <v>0</v>
      </c>
      <c r="N1308" s="513">
        <v>0</v>
      </c>
      <c r="O1308" s="554">
        <f t="shared" ref="O1308:O1367" si="124">IF(N1308&lt;&gt;0,+I1308-N1308,0)</f>
        <v>0</v>
      </c>
      <c r="P1308" s="554">
        <f t="shared" ref="P1308:P1367" si="125">+O1308-M1308</f>
        <v>0</v>
      </c>
      <c r="Q1308" s="473"/>
    </row>
    <row r="1309" spans="1:17">
      <c r="C1309" s="508">
        <f>IF(D1302="","-",+C1308+1)</f>
        <v>2020</v>
      </c>
      <c r="D1309" s="471">
        <f t="shared" ref="D1309:D1367" si="126">F1308</f>
        <v>148735.76456349206</v>
      </c>
      <c r="E1309" s="515">
        <f>IF(D1309&gt;$J$1305,$J$1305,D1309)</f>
        <v>3613.0145238095233</v>
      </c>
      <c r="F1309" s="515">
        <f t="shared" si="120"/>
        <v>145122.75003968255</v>
      </c>
      <c r="G1309" s="471">
        <f t="shared" si="121"/>
        <v>146929.25730158732</v>
      </c>
      <c r="H1309" s="509">
        <f>+J1303*G1309+E1309</f>
        <v>19801.610038067418</v>
      </c>
      <c r="I1309" s="516">
        <f>+J1304*G1309+E1309</f>
        <v>19801.610038067418</v>
      </c>
      <c r="J1309" s="512">
        <f t="shared" si="122"/>
        <v>0</v>
      </c>
      <c r="K1309" s="512"/>
      <c r="L1309" s="517">
        <v>0</v>
      </c>
      <c r="M1309" s="512">
        <f t="shared" si="123"/>
        <v>0</v>
      </c>
      <c r="N1309" s="517">
        <v>0</v>
      </c>
      <c r="O1309" s="512">
        <f t="shared" si="124"/>
        <v>0</v>
      </c>
      <c r="P1309" s="512">
        <f t="shared" si="125"/>
        <v>0</v>
      </c>
      <c r="Q1309" s="473"/>
    </row>
    <row r="1310" spans="1:17">
      <c r="C1310" s="508">
        <f>IF(D1302="","-",+C1309+1)</f>
        <v>2021</v>
      </c>
      <c r="D1310" s="955">
        <f t="shared" si="126"/>
        <v>145122.75003968255</v>
      </c>
      <c r="E1310" s="515">
        <f t="shared" ref="E1310:E1367" si="127">IF(D1310&gt;$J$1305,$J$1305,D1310)</f>
        <v>3613.0145238095233</v>
      </c>
      <c r="F1310" s="515">
        <f t="shared" si="120"/>
        <v>141509.73551587304</v>
      </c>
      <c r="G1310" s="471">
        <f t="shared" si="121"/>
        <v>143316.24277777778</v>
      </c>
      <c r="H1310" s="509">
        <f>+J1303*G1310+E1310</f>
        <v>19403.529820503696</v>
      </c>
      <c r="I1310" s="516">
        <f>+J1304*G1310+E1310</f>
        <v>19403.529820503696</v>
      </c>
      <c r="J1310" s="512">
        <f t="shared" si="122"/>
        <v>0</v>
      </c>
      <c r="K1310" s="512"/>
      <c r="L1310" s="517">
        <v>16151.478034032174</v>
      </c>
      <c r="M1310" s="512">
        <f t="shared" si="123"/>
        <v>3252.0517864715221</v>
      </c>
      <c r="N1310" s="517">
        <v>16151.478034032174</v>
      </c>
      <c r="O1310" s="512">
        <f t="shared" si="124"/>
        <v>3252.0517864715221</v>
      </c>
      <c r="P1310" s="512">
        <f t="shared" si="125"/>
        <v>0</v>
      </c>
      <c r="Q1310" s="473"/>
    </row>
    <row r="1311" spans="1:17">
      <c r="C1311" s="508">
        <f>IF(D1302="","-",+C1310+1)</f>
        <v>2022</v>
      </c>
      <c r="D1311" s="955">
        <f t="shared" si="126"/>
        <v>141509.73551587304</v>
      </c>
      <c r="E1311" s="515">
        <f t="shared" si="127"/>
        <v>3613.0145238095233</v>
      </c>
      <c r="F1311" s="515">
        <f t="shared" si="120"/>
        <v>137896.72099206352</v>
      </c>
      <c r="G1311" s="471">
        <f t="shared" si="121"/>
        <v>139703.22825396829</v>
      </c>
      <c r="H1311" s="509">
        <f>+J1303*G1311+E1311</f>
        <v>19005.449602939982</v>
      </c>
      <c r="I1311" s="516">
        <f>+J1304*G1311+E1311</f>
        <v>19005.449602939982</v>
      </c>
      <c r="J1311" s="512">
        <f t="shared" si="122"/>
        <v>0</v>
      </c>
      <c r="K1311" s="512"/>
      <c r="L1311" s="517">
        <v>16018.191356166253</v>
      </c>
      <c r="M1311" s="512">
        <f t="shared" si="123"/>
        <v>2987.2582467737284</v>
      </c>
      <c r="N1311" s="517">
        <v>16018.191356166253</v>
      </c>
      <c r="O1311" s="512">
        <f t="shared" si="124"/>
        <v>2987.2582467737284</v>
      </c>
      <c r="P1311" s="512">
        <f t="shared" si="125"/>
        <v>0</v>
      </c>
      <c r="Q1311" s="473"/>
    </row>
    <row r="1312" spans="1:17">
      <c r="C1312" s="508">
        <f>IF(D1302="","-",+C1311+1)</f>
        <v>2023</v>
      </c>
      <c r="D1312" s="955">
        <f t="shared" si="126"/>
        <v>137896.72099206352</v>
      </c>
      <c r="E1312" s="515">
        <f t="shared" si="127"/>
        <v>3613.0145238095233</v>
      </c>
      <c r="F1312" s="515">
        <f t="shared" si="120"/>
        <v>134283.70646825401</v>
      </c>
      <c r="G1312" s="471">
        <f t="shared" si="121"/>
        <v>136090.21373015875</v>
      </c>
      <c r="H1312" s="509">
        <f>+J1303*G1312+E1312</f>
        <v>18607.369385376263</v>
      </c>
      <c r="I1312" s="516">
        <f>+J1304*G1312+E1312</f>
        <v>18607.369385376263</v>
      </c>
      <c r="J1312" s="512">
        <f t="shared" si="122"/>
        <v>0</v>
      </c>
      <c r="K1312" s="512"/>
      <c r="L1312" s="517">
        <v>16693.955095338679</v>
      </c>
      <c r="M1312" s="512">
        <f t="shared" si="123"/>
        <v>1913.4142900375846</v>
      </c>
      <c r="N1312" s="517">
        <v>16693.955095338679</v>
      </c>
      <c r="O1312" s="512">
        <f t="shared" si="124"/>
        <v>1913.4142900375846</v>
      </c>
      <c r="P1312" s="512">
        <f t="shared" si="125"/>
        <v>0</v>
      </c>
      <c r="Q1312" s="473"/>
    </row>
    <row r="1313" spans="3:17">
      <c r="C1313" s="508">
        <f>IF(D1302="","-",+C1312+1)</f>
        <v>2024</v>
      </c>
      <c r="D1313" s="471">
        <f t="shared" si="126"/>
        <v>134283.70646825401</v>
      </c>
      <c r="E1313" s="515">
        <f t="shared" si="127"/>
        <v>3613.0145238095233</v>
      </c>
      <c r="F1313" s="515">
        <f t="shared" si="120"/>
        <v>130670.69194444448</v>
      </c>
      <c r="G1313" s="471">
        <f t="shared" si="121"/>
        <v>132477.19920634924</v>
      </c>
      <c r="H1313" s="509">
        <f>+J1303*G1313+E1313</f>
        <v>18209.289167812545</v>
      </c>
      <c r="I1313" s="516">
        <f>+J1304*G1313+E1313</f>
        <v>18209.289167812545</v>
      </c>
      <c r="J1313" s="512">
        <f t="shared" si="122"/>
        <v>0</v>
      </c>
      <c r="K1313" s="512"/>
      <c r="L1313" s="517">
        <v>11101.674408760362</v>
      </c>
      <c r="M1313" s="512">
        <f t="shared" si="123"/>
        <v>7107.6147590521832</v>
      </c>
      <c r="N1313" s="517">
        <v>11101.674408760362</v>
      </c>
      <c r="O1313" s="512">
        <f t="shared" si="124"/>
        <v>7107.6147590521832</v>
      </c>
      <c r="P1313" s="512">
        <f t="shared" si="125"/>
        <v>0</v>
      </c>
      <c r="Q1313" s="473"/>
    </row>
    <row r="1314" spans="3:17">
      <c r="C1314" s="508">
        <f>IF(D1302="","-",+C1313+1)</f>
        <v>2025</v>
      </c>
      <c r="D1314" s="471">
        <f t="shared" si="126"/>
        <v>130670.69194444448</v>
      </c>
      <c r="E1314" s="515">
        <f t="shared" si="127"/>
        <v>3613.0145238095233</v>
      </c>
      <c r="F1314" s="515">
        <f t="shared" si="120"/>
        <v>127057.67742063495</v>
      </c>
      <c r="G1314" s="471">
        <f t="shared" si="121"/>
        <v>128864.18468253972</v>
      </c>
      <c r="H1314" s="509">
        <f>+J1303*G1314+E1314</f>
        <v>17811.208950248827</v>
      </c>
      <c r="I1314" s="516">
        <f>+J1304*G1314+E1314</f>
        <v>17811.208950248827</v>
      </c>
      <c r="J1314" s="512">
        <f t="shared" si="122"/>
        <v>0</v>
      </c>
      <c r="K1314" s="512"/>
      <c r="L1314" s="517">
        <v>17756.997968926677</v>
      </c>
      <c r="M1314" s="512">
        <f t="shared" si="123"/>
        <v>54.210981322150474</v>
      </c>
      <c r="N1314" s="517">
        <v>17756.997968926677</v>
      </c>
      <c r="O1314" s="512">
        <f t="shared" si="124"/>
        <v>54.210981322150474</v>
      </c>
      <c r="P1314" s="512">
        <f t="shared" si="125"/>
        <v>0</v>
      </c>
      <c r="Q1314" s="473"/>
    </row>
    <row r="1315" spans="3:17">
      <c r="C1315" s="508">
        <f>IF(D1302="","-",+C1314+1)</f>
        <v>2026</v>
      </c>
      <c r="D1315" s="471">
        <f t="shared" si="126"/>
        <v>127057.67742063495</v>
      </c>
      <c r="E1315" s="515">
        <f t="shared" si="127"/>
        <v>3613.0145238095233</v>
      </c>
      <c r="F1315" s="515">
        <f t="shared" si="120"/>
        <v>123444.66289682542</v>
      </c>
      <c r="G1315" s="471">
        <f t="shared" si="121"/>
        <v>125251.17015873018</v>
      </c>
      <c r="H1315" s="509">
        <f>+J1303*G1315+E1315</f>
        <v>17413.128732685105</v>
      </c>
      <c r="I1315" s="516">
        <f>+J1304*G1315+E1315</f>
        <v>17413.128732685105</v>
      </c>
      <c r="J1315" s="512">
        <f t="shared" si="122"/>
        <v>0</v>
      </c>
      <c r="K1315" s="512"/>
      <c r="L1315" s="517">
        <v>0</v>
      </c>
      <c r="M1315" s="512">
        <f t="shared" si="123"/>
        <v>0</v>
      </c>
      <c r="N1315" s="517">
        <v>0</v>
      </c>
      <c r="O1315" s="512">
        <f t="shared" si="124"/>
        <v>0</v>
      </c>
      <c r="P1315" s="512">
        <f t="shared" si="125"/>
        <v>0</v>
      </c>
      <c r="Q1315" s="473"/>
    </row>
    <row r="1316" spans="3:17">
      <c r="C1316" s="508">
        <f>IF(D1302="","-",+C1315+1)</f>
        <v>2027</v>
      </c>
      <c r="D1316" s="471">
        <f t="shared" si="126"/>
        <v>123444.66289682542</v>
      </c>
      <c r="E1316" s="515">
        <f t="shared" si="127"/>
        <v>3613.0145238095233</v>
      </c>
      <c r="F1316" s="515">
        <f t="shared" si="120"/>
        <v>119831.64837301589</v>
      </c>
      <c r="G1316" s="471">
        <f t="shared" si="121"/>
        <v>121638.15563492067</v>
      </c>
      <c r="H1316" s="509">
        <f>+J1303*G1316+E1316</f>
        <v>17015.048515121391</v>
      </c>
      <c r="I1316" s="516">
        <f>+J1304*G1316+E1316</f>
        <v>17015.048515121391</v>
      </c>
      <c r="J1316" s="512">
        <f t="shared" si="122"/>
        <v>0</v>
      </c>
      <c r="K1316" s="512"/>
      <c r="L1316" s="517">
        <v>0</v>
      </c>
      <c r="M1316" s="512">
        <f t="shared" si="123"/>
        <v>0</v>
      </c>
      <c r="N1316" s="517">
        <v>0</v>
      </c>
      <c r="O1316" s="512">
        <f t="shared" si="124"/>
        <v>0</v>
      </c>
      <c r="P1316" s="512">
        <f t="shared" si="125"/>
        <v>0</v>
      </c>
      <c r="Q1316" s="473"/>
    </row>
    <row r="1317" spans="3:17">
      <c r="C1317" s="508">
        <f>IF(D1302="","-",+C1316+1)</f>
        <v>2028</v>
      </c>
      <c r="D1317" s="471">
        <f t="shared" si="126"/>
        <v>119831.64837301589</v>
      </c>
      <c r="E1317" s="515">
        <f t="shared" si="127"/>
        <v>3613.0145238095233</v>
      </c>
      <c r="F1317" s="515">
        <f t="shared" si="120"/>
        <v>116218.63384920637</v>
      </c>
      <c r="G1317" s="471">
        <f t="shared" si="121"/>
        <v>118025.14111111112</v>
      </c>
      <c r="H1317" s="509">
        <f>+J1303*G1317+E1317</f>
        <v>16616.968297557669</v>
      </c>
      <c r="I1317" s="516">
        <f>+J1304*G1317+E1317</f>
        <v>16616.968297557669</v>
      </c>
      <c r="J1317" s="512">
        <f t="shared" si="122"/>
        <v>0</v>
      </c>
      <c r="K1317" s="512"/>
      <c r="L1317" s="517">
        <v>0</v>
      </c>
      <c r="M1317" s="512">
        <f t="shared" si="123"/>
        <v>0</v>
      </c>
      <c r="N1317" s="517">
        <v>0</v>
      </c>
      <c r="O1317" s="512">
        <f t="shared" si="124"/>
        <v>0</v>
      </c>
      <c r="P1317" s="512">
        <f t="shared" si="125"/>
        <v>0</v>
      </c>
      <c r="Q1317" s="473"/>
    </row>
    <row r="1318" spans="3:17">
      <c r="C1318" s="508">
        <f>IF(D1302="","-",+C1317+1)</f>
        <v>2029</v>
      </c>
      <c r="D1318" s="471">
        <f t="shared" si="126"/>
        <v>116218.63384920637</v>
      </c>
      <c r="E1318" s="515">
        <f t="shared" si="127"/>
        <v>3613.0145238095233</v>
      </c>
      <c r="F1318" s="515">
        <f t="shared" si="120"/>
        <v>112605.61932539684</v>
      </c>
      <c r="G1318" s="471">
        <f t="shared" si="121"/>
        <v>114412.12658730161</v>
      </c>
      <c r="H1318" s="509">
        <f>+J1303*G1318+E1318</f>
        <v>16218.888079993949</v>
      </c>
      <c r="I1318" s="516">
        <f>+J1304*G1318+E1318</f>
        <v>16218.888079993949</v>
      </c>
      <c r="J1318" s="512">
        <f t="shared" si="122"/>
        <v>0</v>
      </c>
      <c r="K1318" s="512"/>
      <c r="L1318" s="517">
        <v>0</v>
      </c>
      <c r="M1318" s="512">
        <f t="shared" si="123"/>
        <v>0</v>
      </c>
      <c r="N1318" s="517">
        <v>0</v>
      </c>
      <c r="O1318" s="512">
        <f t="shared" si="124"/>
        <v>0</v>
      </c>
      <c r="P1318" s="512">
        <f t="shared" si="125"/>
        <v>0</v>
      </c>
      <c r="Q1318" s="473"/>
    </row>
    <row r="1319" spans="3:17">
      <c r="C1319" s="508">
        <f>IF(D1302="","-",+C1318+1)</f>
        <v>2030</v>
      </c>
      <c r="D1319" s="471">
        <f t="shared" si="126"/>
        <v>112605.61932539684</v>
      </c>
      <c r="E1319" s="515">
        <f t="shared" si="127"/>
        <v>3613.0145238095233</v>
      </c>
      <c r="F1319" s="515">
        <f t="shared" si="120"/>
        <v>108992.60480158731</v>
      </c>
      <c r="G1319" s="471">
        <f t="shared" si="121"/>
        <v>110799.11206349207</v>
      </c>
      <c r="H1319" s="509">
        <f>+J1303*G1319+E1319</f>
        <v>15820.807862430229</v>
      </c>
      <c r="I1319" s="516">
        <f>+J1304*G1319+E1319</f>
        <v>15820.807862430229</v>
      </c>
      <c r="J1319" s="512">
        <f t="shared" si="122"/>
        <v>0</v>
      </c>
      <c r="K1319" s="512"/>
      <c r="L1319" s="517"/>
      <c r="M1319" s="512">
        <f t="shared" si="123"/>
        <v>0</v>
      </c>
      <c r="N1319" s="517"/>
      <c r="O1319" s="512">
        <f t="shared" si="124"/>
        <v>0</v>
      </c>
      <c r="P1319" s="512">
        <f t="shared" si="125"/>
        <v>0</v>
      </c>
      <c r="Q1319" s="473"/>
    </row>
    <row r="1320" spans="3:17">
      <c r="C1320" s="508">
        <f>IF(D1302="","-",+C1319+1)</f>
        <v>2031</v>
      </c>
      <c r="D1320" s="471">
        <f t="shared" si="126"/>
        <v>108992.60480158731</v>
      </c>
      <c r="E1320" s="515">
        <f t="shared" si="127"/>
        <v>3613.0145238095233</v>
      </c>
      <c r="F1320" s="515">
        <f t="shared" si="120"/>
        <v>105379.59027777778</v>
      </c>
      <c r="G1320" s="471">
        <f t="shared" si="121"/>
        <v>107186.09753968255</v>
      </c>
      <c r="H1320" s="509">
        <f>+J1303*G1320+E1320</f>
        <v>15422.727644866511</v>
      </c>
      <c r="I1320" s="516">
        <f>+J1304*G1320+E1320</f>
        <v>15422.727644866511</v>
      </c>
      <c r="J1320" s="512">
        <f t="shared" si="122"/>
        <v>0</v>
      </c>
      <c r="K1320" s="512"/>
      <c r="L1320" s="517"/>
      <c r="M1320" s="512">
        <f t="shared" si="123"/>
        <v>0</v>
      </c>
      <c r="N1320" s="517"/>
      <c r="O1320" s="512">
        <f t="shared" si="124"/>
        <v>0</v>
      </c>
      <c r="P1320" s="512">
        <f t="shared" si="125"/>
        <v>0</v>
      </c>
      <c r="Q1320" s="473"/>
    </row>
    <row r="1321" spans="3:17">
      <c r="C1321" s="508">
        <f>IF(D1302="","-",+C1320+1)</f>
        <v>2032</v>
      </c>
      <c r="D1321" s="471">
        <f t="shared" si="126"/>
        <v>105379.59027777778</v>
      </c>
      <c r="E1321" s="515">
        <f t="shared" si="127"/>
        <v>3613.0145238095233</v>
      </c>
      <c r="F1321" s="515">
        <f t="shared" si="120"/>
        <v>101766.57575396825</v>
      </c>
      <c r="G1321" s="471">
        <f t="shared" si="121"/>
        <v>103573.08301587301</v>
      </c>
      <c r="H1321" s="509">
        <f>+J1303*G1321+E1321</f>
        <v>15024.647427302791</v>
      </c>
      <c r="I1321" s="516">
        <f>+J1304*G1321+E1321</f>
        <v>15024.647427302791</v>
      </c>
      <c r="J1321" s="512">
        <f t="shared" si="122"/>
        <v>0</v>
      </c>
      <c r="K1321" s="512"/>
      <c r="L1321" s="517"/>
      <c r="M1321" s="512">
        <f t="shared" si="123"/>
        <v>0</v>
      </c>
      <c r="N1321" s="517"/>
      <c r="O1321" s="512">
        <f t="shared" si="124"/>
        <v>0</v>
      </c>
      <c r="P1321" s="512">
        <f t="shared" si="125"/>
        <v>0</v>
      </c>
      <c r="Q1321" s="473"/>
    </row>
    <row r="1322" spans="3:17">
      <c r="C1322" s="508">
        <f>IF(D1302="","-",+C1321+1)</f>
        <v>2033</v>
      </c>
      <c r="D1322" s="471">
        <f t="shared" si="126"/>
        <v>101766.57575396825</v>
      </c>
      <c r="E1322" s="515">
        <f t="shared" si="127"/>
        <v>3613.0145238095233</v>
      </c>
      <c r="F1322" s="515">
        <f t="shared" si="120"/>
        <v>98153.561230158724</v>
      </c>
      <c r="G1322" s="471">
        <f t="shared" si="121"/>
        <v>99960.068492063496</v>
      </c>
      <c r="H1322" s="509">
        <f>+J1303*G1322+E1322</f>
        <v>14626.567209739072</v>
      </c>
      <c r="I1322" s="516">
        <f>+J1304*G1322+E1322</f>
        <v>14626.567209739072</v>
      </c>
      <c r="J1322" s="512">
        <f t="shared" si="122"/>
        <v>0</v>
      </c>
      <c r="K1322" s="512"/>
      <c r="L1322" s="517"/>
      <c r="M1322" s="512">
        <f t="shared" si="123"/>
        <v>0</v>
      </c>
      <c r="N1322" s="517"/>
      <c r="O1322" s="512">
        <f t="shared" si="124"/>
        <v>0</v>
      </c>
      <c r="P1322" s="512">
        <f t="shared" si="125"/>
        <v>0</v>
      </c>
      <c r="Q1322" s="473"/>
    </row>
    <row r="1323" spans="3:17">
      <c r="C1323" s="508">
        <f>IF(D1302="","-",+C1322+1)</f>
        <v>2034</v>
      </c>
      <c r="D1323" s="471">
        <f t="shared" si="126"/>
        <v>98153.561230158724</v>
      </c>
      <c r="E1323" s="515">
        <f t="shared" si="127"/>
        <v>3613.0145238095233</v>
      </c>
      <c r="F1323" s="515">
        <f t="shared" si="120"/>
        <v>94540.546706349196</v>
      </c>
      <c r="G1323" s="471">
        <f t="shared" si="121"/>
        <v>96347.053968253953</v>
      </c>
      <c r="H1323" s="509">
        <f>+J1303*G1323+E1323</f>
        <v>14228.486992175352</v>
      </c>
      <c r="I1323" s="516">
        <f>+J1304*G1323+E1323</f>
        <v>14228.486992175352</v>
      </c>
      <c r="J1323" s="512">
        <f t="shared" si="122"/>
        <v>0</v>
      </c>
      <c r="K1323" s="512"/>
      <c r="L1323" s="517"/>
      <c r="M1323" s="512">
        <f t="shared" si="123"/>
        <v>0</v>
      </c>
      <c r="N1323" s="517"/>
      <c r="O1323" s="512">
        <f t="shared" si="124"/>
        <v>0</v>
      </c>
      <c r="P1323" s="512">
        <f t="shared" si="125"/>
        <v>0</v>
      </c>
      <c r="Q1323" s="473"/>
    </row>
    <row r="1324" spans="3:17">
      <c r="C1324" s="508">
        <f>IF(D1302="","-",+C1323+1)</f>
        <v>2035</v>
      </c>
      <c r="D1324" s="471">
        <f t="shared" si="126"/>
        <v>94540.546706349196</v>
      </c>
      <c r="E1324" s="515">
        <f t="shared" si="127"/>
        <v>3613.0145238095233</v>
      </c>
      <c r="F1324" s="515">
        <f t="shared" si="120"/>
        <v>90927.532182539668</v>
      </c>
      <c r="G1324" s="471">
        <f t="shared" si="121"/>
        <v>92734.039444444439</v>
      </c>
      <c r="H1324" s="509">
        <f>+J1303*G1324+E1324</f>
        <v>13830.406774611634</v>
      </c>
      <c r="I1324" s="516">
        <f>+J1304*G1324+E1324</f>
        <v>13830.406774611634</v>
      </c>
      <c r="J1324" s="512">
        <f t="shared" si="122"/>
        <v>0</v>
      </c>
      <c r="K1324" s="512"/>
      <c r="L1324" s="517"/>
      <c r="M1324" s="512">
        <f t="shared" si="123"/>
        <v>0</v>
      </c>
      <c r="N1324" s="517"/>
      <c r="O1324" s="512">
        <f t="shared" si="124"/>
        <v>0</v>
      </c>
      <c r="P1324" s="512">
        <f t="shared" si="125"/>
        <v>0</v>
      </c>
      <c r="Q1324" s="473"/>
    </row>
    <row r="1325" spans="3:17">
      <c r="C1325" s="508">
        <f>IF(D1302="","-",+C1324+1)</f>
        <v>2036</v>
      </c>
      <c r="D1325" s="471">
        <f t="shared" si="126"/>
        <v>90927.532182539668</v>
      </c>
      <c r="E1325" s="515">
        <f t="shared" si="127"/>
        <v>3613.0145238095233</v>
      </c>
      <c r="F1325" s="515">
        <f t="shared" si="120"/>
        <v>87314.517658730139</v>
      </c>
      <c r="G1325" s="471">
        <f t="shared" si="121"/>
        <v>89121.024920634896</v>
      </c>
      <c r="H1325" s="509">
        <f>+J1303*G1325+E1325</f>
        <v>13432.326557047914</v>
      </c>
      <c r="I1325" s="516">
        <f>+J1304*G1325+E1325</f>
        <v>13432.326557047914</v>
      </c>
      <c r="J1325" s="512">
        <f t="shared" si="122"/>
        <v>0</v>
      </c>
      <c r="K1325" s="512"/>
      <c r="L1325" s="517"/>
      <c r="M1325" s="512">
        <f t="shared" si="123"/>
        <v>0</v>
      </c>
      <c r="N1325" s="517"/>
      <c r="O1325" s="512">
        <f t="shared" si="124"/>
        <v>0</v>
      </c>
      <c r="P1325" s="512">
        <f t="shared" si="125"/>
        <v>0</v>
      </c>
      <c r="Q1325" s="473"/>
    </row>
    <row r="1326" spans="3:17">
      <c r="C1326" s="508">
        <f>IF(D1302="","-",+C1325+1)</f>
        <v>2037</v>
      </c>
      <c r="D1326" s="471">
        <f t="shared" si="126"/>
        <v>87314.517658730139</v>
      </c>
      <c r="E1326" s="515">
        <f t="shared" si="127"/>
        <v>3613.0145238095233</v>
      </c>
      <c r="F1326" s="515">
        <f t="shared" si="120"/>
        <v>83701.503134920611</v>
      </c>
      <c r="G1326" s="471">
        <f t="shared" si="121"/>
        <v>85508.010396825382</v>
      </c>
      <c r="H1326" s="509">
        <f>+J1303*G1326+E1326</f>
        <v>13034.246339484196</v>
      </c>
      <c r="I1326" s="516">
        <f>+J1304*G1326+E1326</f>
        <v>13034.246339484196</v>
      </c>
      <c r="J1326" s="512">
        <f t="shared" si="122"/>
        <v>0</v>
      </c>
      <c r="K1326" s="512"/>
      <c r="L1326" s="517"/>
      <c r="M1326" s="512">
        <f t="shared" si="123"/>
        <v>0</v>
      </c>
      <c r="N1326" s="517"/>
      <c r="O1326" s="512">
        <f t="shared" si="124"/>
        <v>0</v>
      </c>
      <c r="P1326" s="512">
        <f t="shared" si="125"/>
        <v>0</v>
      </c>
      <c r="Q1326" s="473"/>
    </row>
    <row r="1327" spans="3:17">
      <c r="C1327" s="508">
        <f>IF(D1302="","-",+C1326+1)</f>
        <v>2038</v>
      </c>
      <c r="D1327" s="471">
        <f t="shared" si="126"/>
        <v>83701.503134920611</v>
      </c>
      <c r="E1327" s="515">
        <f t="shared" si="127"/>
        <v>3613.0145238095233</v>
      </c>
      <c r="F1327" s="515">
        <f t="shared" si="120"/>
        <v>80088.488611111083</v>
      </c>
      <c r="G1327" s="471">
        <f t="shared" si="121"/>
        <v>81894.99587301584</v>
      </c>
      <c r="H1327" s="509">
        <f>+J1303*G1327+E1327</f>
        <v>12636.166121920476</v>
      </c>
      <c r="I1327" s="516">
        <f>+J1304*G1327+E1327</f>
        <v>12636.166121920476</v>
      </c>
      <c r="J1327" s="512">
        <f t="shared" si="122"/>
        <v>0</v>
      </c>
      <c r="K1327" s="512"/>
      <c r="L1327" s="517"/>
      <c r="M1327" s="512">
        <f t="shared" si="123"/>
        <v>0</v>
      </c>
      <c r="N1327" s="517"/>
      <c r="O1327" s="512">
        <f t="shared" si="124"/>
        <v>0</v>
      </c>
      <c r="P1327" s="512">
        <f t="shared" si="125"/>
        <v>0</v>
      </c>
      <c r="Q1327" s="473"/>
    </row>
    <row r="1328" spans="3:17">
      <c r="C1328" s="508">
        <f>IF(D1302="","-",+C1327+1)</f>
        <v>2039</v>
      </c>
      <c r="D1328" s="471">
        <f t="shared" si="126"/>
        <v>80088.488611111083</v>
      </c>
      <c r="E1328" s="515">
        <f t="shared" si="127"/>
        <v>3613.0145238095233</v>
      </c>
      <c r="F1328" s="515">
        <f t="shared" si="120"/>
        <v>76475.474087301554</v>
      </c>
      <c r="G1328" s="471">
        <f t="shared" si="121"/>
        <v>78281.981349206326</v>
      </c>
      <c r="H1328" s="509">
        <f>+J1303*G1328+E1328</f>
        <v>12238.085904356758</v>
      </c>
      <c r="I1328" s="516">
        <f>+J1304*G1328+E1328</f>
        <v>12238.085904356758</v>
      </c>
      <c r="J1328" s="512">
        <f t="shared" si="122"/>
        <v>0</v>
      </c>
      <c r="K1328" s="512"/>
      <c r="L1328" s="517"/>
      <c r="M1328" s="512">
        <f t="shared" si="123"/>
        <v>0</v>
      </c>
      <c r="N1328" s="517"/>
      <c r="O1328" s="512">
        <f t="shared" si="124"/>
        <v>0</v>
      </c>
      <c r="P1328" s="512">
        <f t="shared" si="125"/>
        <v>0</v>
      </c>
      <c r="Q1328" s="473"/>
    </row>
    <row r="1329" spans="3:17">
      <c r="C1329" s="508">
        <f>IF(D1302="","-",+C1328+1)</f>
        <v>2040</v>
      </c>
      <c r="D1329" s="471">
        <f t="shared" si="126"/>
        <v>76475.474087301554</v>
      </c>
      <c r="E1329" s="515">
        <f t="shared" si="127"/>
        <v>3613.0145238095233</v>
      </c>
      <c r="F1329" s="515">
        <f t="shared" si="120"/>
        <v>72862.459563492026</v>
      </c>
      <c r="G1329" s="471">
        <f t="shared" si="121"/>
        <v>74668.966825396783</v>
      </c>
      <c r="H1329" s="509">
        <f>+J1303*G1329+E1329</f>
        <v>11840.005686793038</v>
      </c>
      <c r="I1329" s="516">
        <f>+J1304*G1329+E1329</f>
        <v>11840.005686793038</v>
      </c>
      <c r="J1329" s="512">
        <f t="shared" si="122"/>
        <v>0</v>
      </c>
      <c r="K1329" s="512"/>
      <c r="L1329" s="517"/>
      <c r="M1329" s="512">
        <f t="shared" si="123"/>
        <v>0</v>
      </c>
      <c r="N1329" s="517"/>
      <c r="O1329" s="512">
        <f t="shared" si="124"/>
        <v>0</v>
      </c>
      <c r="P1329" s="512">
        <f t="shared" si="125"/>
        <v>0</v>
      </c>
      <c r="Q1329" s="473"/>
    </row>
    <row r="1330" spans="3:17">
      <c r="C1330" s="508">
        <f>IF(D1302="","-",+C1329+1)</f>
        <v>2041</v>
      </c>
      <c r="D1330" s="471">
        <f t="shared" si="126"/>
        <v>72862.459563492026</v>
      </c>
      <c r="E1330" s="515">
        <f t="shared" si="127"/>
        <v>3613.0145238095233</v>
      </c>
      <c r="F1330" s="515">
        <f t="shared" si="120"/>
        <v>69249.445039682498</v>
      </c>
      <c r="G1330" s="471">
        <f t="shared" si="121"/>
        <v>71055.952301587269</v>
      </c>
      <c r="H1330" s="509">
        <f>+J1303*G1330+E1330</f>
        <v>11441.92546922932</v>
      </c>
      <c r="I1330" s="516">
        <f>+J1304*G1330+E1330</f>
        <v>11441.92546922932</v>
      </c>
      <c r="J1330" s="512">
        <f t="shared" si="122"/>
        <v>0</v>
      </c>
      <c r="K1330" s="512"/>
      <c r="L1330" s="517"/>
      <c r="M1330" s="512">
        <f t="shared" si="123"/>
        <v>0</v>
      </c>
      <c r="N1330" s="517"/>
      <c r="O1330" s="512">
        <f t="shared" si="124"/>
        <v>0</v>
      </c>
      <c r="P1330" s="512">
        <f t="shared" si="125"/>
        <v>0</v>
      </c>
      <c r="Q1330" s="473"/>
    </row>
    <row r="1331" spans="3:17">
      <c r="C1331" s="508">
        <f>IF(D1302="","-",+C1330+1)</f>
        <v>2042</v>
      </c>
      <c r="D1331" s="471">
        <f t="shared" si="126"/>
        <v>69249.445039682498</v>
      </c>
      <c r="E1331" s="515">
        <f t="shared" si="127"/>
        <v>3613.0145238095233</v>
      </c>
      <c r="F1331" s="515">
        <f t="shared" si="120"/>
        <v>65636.430515872969</v>
      </c>
      <c r="G1331" s="471">
        <f t="shared" si="121"/>
        <v>67442.937777777726</v>
      </c>
      <c r="H1331" s="509">
        <f>+J1303*G1331+E1331</f>
        <v>11043.8452516656</v>
      </c>
      <c r="I1331" s="516">
        <f>+J1304*G1331+E1331</f>
        <v>11043.8452516656</v>
      </c>
      <c r="J1331" s="512">
        <f t="shared" si="122"/>
        <v>0</v>
      </c>
      <c r="K1331" s="512"/>
      <c r="L1331" s="517"/>
      <c r="M1331" s="512">
        <f t="shared" si="123"/>
        <v>0</v>
      </c>
      <c r="N1331" s="517"/>
      <c r="O1331" s="512">
        <f t="shared" si="124"/>
        <v>0</v>
      </c>
      <c r="P1331" s="512">
        <f t="shared" si="125"/>
        <v>0</v>
      </c>
      <c r="Q1331" s="473"/>
    </row>
    <row r="1332" spans="3:17">
      <c r="C1332" s="508">
        <f>IF(D1302="","-",+C1331+1)</f>
        <v>2043</v>
      </c>
      <c r="D1332" s="471">
        <f t="shared" si="126"/>
        <v>65636.430515872969</v>
      </c>
      <c r="E1332" s="515">
        <f t="shared" si="127"/>
        <v>3613.0145238095233</v>
      </c>
      <c r="F1332" s="515">
        <f t="shared" si="120"/>
        <v>62023.415992063448</v>
      </c>
      <c r="G1332" s="471">
        <f t="shared" si="121"/>
        <v>63829.923253968213</v>
      </c>
      <c r="H1332" s="509">
        <f>+J1303*G1332+E1332</f>
        <v>10645.765034101882</v>
      </c>
      <c r="I1332" s="516">
        <f>+J1304*G1332+E1332</f>
        <v>10645.765034101882</v>
      </c>
      <c r="J1332" s="512">
        <f t="shared" si="122"/>
        <v>0</v>
      </c>
      <c r="K1332" s="512"/>
      <c r="L1332" s="517"/>
      <c r="M1332" s="512">
        <f t="shared" si="123"/>
        <v>0</v>
      </c>
      <c r="N1332" s="517"/>
      <c r="O1332" s="512">
        <f t="shared" si="124"/>
        <v>0</v>
      </c>
      <c r="P1332" s="512">
        <f t="shared" si="125"/>
        <v>0</v>
      </c>
      <c r="Q1332" s="473"/>
    </row>
    <row r="1333" spans="3:17">
      <c r="C1333" s="508">
        <f>IF(D1302="","-",+C1332+1)</f>
        <v>2044</v>
      </c>
      <c r="D1333" s="471">
        <f t="shared" si="126"/>
        <v>62023.415992063448</v>
      </c>
      <c r="E1333" s="515">
        <f t="shared" si="127"/>
        <v>3613.0145238095233</v>
      </c>
      <c r="F1333" s="515">
        <f t="shared" si="120"/>
        <v>58410.401468253927</v>
      </c>
      <c r="G1333" s="471">
        <f t="shared" si="121"/>
        <v>60216.908730158684</v>
      </c>
      <c r="H1333" s="509">
        <f>+J1303*G1333+E1333</f>
        <v>10247.684816538163</v>
      </c>
      <c r="I1333" s="516">
        <f>+J1304*G1333+E1333</f>
        <v>10247.684816538163</v>
      </c>
      <c r="J1333" s="512">
        <f t="shared" si="122"/>
        <v>0</v>
      </c>
      <c r="K1333" s="512"/>
      <c r="L1333" s="517"/>
      <c r="M1333" s="512">
        <f t="shared" si="123"/>
        <v>0</v>
      </c>
      <c r="N1333" s="517"/>
      <c r="O1333" s="512">
        <f t="shared" si="124"/>
        <v>0</v>
      </c>
      <c r="P1333" s="512">
        <f t="shared" si="125"/>
        <v>0</v>
      </c>
      <c r="Q1333" s="473"/>
    </row>
    <row r="1334" spans="3:17">
      <c r="C1334" s="508">
        <f>IF(D1302="","-",+C1333+1)</f>
        <v>2045</v>
      </c>
      <c r="D1334" s="471">
        <f t="shared" si="126"/>
        <v>58410.401468253927</v>
      </c>
      <c r="E1334" s="515">
        <f t="shared" si="127"/>
        <v>3613.0145238095233</v>
      </c>
      <c r="F1334" s="515">
        <f t="shared" si="120"/>
        <v>54797.386944444406</v>
      </c>
      <c r="G1334" s="471">
        <f t="shared" si="121"/>
        <v>56603.89420634917</v>
      </c>
      <c r="H1334" s="509">
        <f>+J1303*G1334+E1334</f>
        <v>9849.6045989744453</v>
      </c>
      <c r="I1334" s="516">
        <f>+J1304*G1334+E1334</f>
        <v>9849.6045989744453</v>
      </c>
      <c r="J1334" s="512">
        <f t="shared" si="122"/>
        <v>0</v>
      </c>
      <c r="K1334" s="512"/>
      <c r="L1334" s="517"/>
      <c r="M1334" s="512">
        <f t="shared" si="123"/>
        <v>0</v>
      </c>
      <c r="N1334" s="517"/>
      <c r="O1334" s="512">
        <f t="shared" si="124"/>
        <v>0</v>
      </c>
      <c r="P1334" s="512">
        <f t="shared" si="125"/>
        <v>0</v>
      </c>
      <c r="Q1334" s="473"/>
    </row>
    <row r="1335" spans="3:17">
      <c r="C1335" s="508">
        <f>IF(D1302="","-",+C1334+1)</f>
        <v>2046</v>
      </c>
      <c r="D1335" s="471">
        <f t="shared" si="126"/>
        <v>54797.386944444406</v>
      </c>
      <c r="E1335" s="515">
        <f t="shared" si="127"/>
        <v>3613.0145238095233</v>
      </c>
      <c r="F1335" s="515">
        <f t="shared" si="120"/>
        <v>51184.372420634885</v>
      </c>
      <c r="G1335" s="471">
        <f t="shared" si="121"/>
        <v>52990.879682539642</v>
      </c>
      <c r="H1335" s="509">
        <f>+J1303*G1335+E1335</f>
        <v>9451.5243814107253</v>
      </c>
      <c r="I1335" s="516">
        <f>+J1304*G1335+E1335</f>
        <v>9451.5243814107253</v>
      </c>
      <c r="J1335" s="512">
        <f t="shared" si="122"/>
        <v>0</v>
      </c>
      <c r="K1335" s="512"/>
      <c r="L1335" s="517"/>
      <c r="M1335" s="512">
        <f t="shared" si="123"/>
        <v>0</v>
      </c>
      <c r="N1335" s="517"/>
      <c r="O1335" s="512">
        <f t="shared" si="124"/>
        <v>0</v>
      </c>
      <c r="P1335" s="512">
        <f t="shared" si="125"/>
        <v>0</v>
      </c>
      <c r="Q1335" s="473"/>
    </row>
    <row r="1336" spans="3:17">
      <c r="C1336" s="508">
        <f>IF(D1302="","-",+C1335+1)</f>
        <v>2047</v>
      </c>
      <c r="D1336" s="471">
        <f t="shared" si="126"/>
        <v>51184.372420634885</v>
      </c>
      <c r="E1336" s="515">
        <f t="shared" si="127"/>
        <v>3613.0145238095233</v>
      </c>
      <c r="F1336" s="515">
        <f t="shared" si="120"/>
        <v>47571.357896825364</v>
      </c>
      <c r="G1336" s="471">
        <f t="shared" si="121"/>
        <v>49377.865158730128</v>
      </c>
      <c r="H1336" s="509">
        <f>+J1303*G1336+E1336</f>
        <v>9053.4441638470089</v>
      </c>
      <c r="I1336" s="516">
        <f>+J1304*G1336+E1336</f>
        <v>9053.4441638470089</v>
      </c>
      <c r="J1336" s="512">
        <f t="shared" si="122"/>
        <v>0</v>
      </c>
      <c r="K1336" s="512"/>
      <c r="L1336" s="517"/>
      <c r="M1336" s="512">
        <f t="shared" si="123"/>
        <v>0</v>
      </c>
      <c r="N1336" s="517"/>
      <c r="O1336" s="512">
        <f t="shared" si="124"/>
        <v>0</v>
      </c>
      <c r="P1336" s="512">
        <f t="shared" si="125"/>
        <v>0</v>
      </c>
      <c r="Q1336" s="473"/>
    </row>
    <row r="1337" spans="3:17">
      <c r="C1337" s="508">
        <f>IF(D1302="","-",+C1336+1)</f>
        <v>2048</v>
      </c>
      <c r="D1337" s="471">
        <f t="shared" si="126"/>
        <v>47571.357896825364</v>
      </c>
      <c r="E1337" s="515">
        <f t="shared" si="127"/>
        <v>3613.0145238095233</v>
      </c>
      <c r="F1337" s="515">
        <f t="shared" si="120"/>
        <v>43958.343373015843</v>
      </c>
      <c r="G1337" s="471">
        <f t="shared" si="121"/>
        <v>45764.8506349206</v>
      </c>
      <c r="H1337" s="509">
        <f>+J1303*G1337+E1337</f>
        <v>8655.3639462832889</v>
      </c>
      <c r="I1337" s="516">
        <f>+J1304*G1337+E1337</f>
        <v>8655.3639462832889</v>
      </c>
      <c r="J1337" s="512">
        <f t="shared" si="122"/>
        <v>0</v>
      </c>
      <c r="K1337" s="512"/>
      <c r="L1337" s="517"/>
      <c r="M1337" s="512">
        <f t="shared" si="123"/>
        <v>0</v>
      </c>
      <c r="N1337" s="517"/>
      <c r="O1337" s="512">
        <f t="shared" si="124"/>
        <v>0</v>
      </c>
      <c r="P1337" s="512">
        <f t="shared" si="125"/>
        <v>0</v>
      </c>
      <c r="Q1337" s="473"/>
    </row>
    <row r="1338" spans="3:17">
      <c r="C1338" s="508">
        <f>IF(D1302="","-",+C1337+1)</f>
        <v>2049</v>
      </c>
      <c r="D1338" s="471">
        <f t="shared" si="126"/>
        <v>43958.343373015843</v>
      </c>
      <c r="E1338" s="515">
        <f t="shared" si="127"/>
        <v>3613.0145238095233</v>
      </c>
      <c r="F1338" s="515">
        <f t="shared" si="120"/>
        <v>40345.328849206322</v>
      </c>
      <c r="G1338" s="471">
        <f t="shared" si="121"/>
        <v>42151.836111111086</v>
      </c>
      <c r="H1338" s="509">
        <f>+J1303*G1338+E1338</f>
        <v>8257.2837287195725</v>
      </c>
      <c r="I1338" s="516">
        <f>+J1304*G1338+E1338</f>
        <v>8257.2837287195725</v>
      </c>
      <c r="J1338" s="512">
        <f t="shared" si="122"/>
        <v>0</v>
      </c>
      <c r="K1338" s="512"/>
      <c r="L1338" s="517"/>
      <c r="M1338" s="512">
        <f t="shared" si="123"/>
        <v>0</v>
      </c>
      <c r="N1338" s="517"/>
      <c r="O1338" s="512">
        <f t="shared" si="124"/>
        <v>0</v>
      </c>
      <c r="P1338" s="512">
        <f t="shared" si="125"/>
        <v>0</v>
      </c>
      <c r="Q1338" s="473"/>
    </row>
    <row r="1339" spans="3:17">
      <c r="C1339" s="508">
        <f>IF(D1302="","-",+C1338+1)</f>
        <v>2050</v>
      </c>
      <c r="D1339" s="471">
        <f t="shared" si="126"/>
        <v>40345.328849206322</v>
      </c>
      <c r="E1339" s="515">
        <f t="shared" si="127"/>
        <v>3613.0145238095233</v>
      </c>
      <c r="F1339" s="515">
        <f t="shared" si="120"/>
        <v>36732.314325396801</v>
      </c>
      <c r="G1339" s="471">
        <f t="shared" si="121"/>
        <v>38538.821587301558</v>
      </c>
      <c r="H1339" s="509">
        <f>+J1303*G1339+E1339</f>
        <v>7859.2035111558525</v>
      </c>
      <c r="I1339" s="516">
        <f>+J1304*G1339+E1339</f>
        <v>7859.2035111558525</v>
      </c>
      <c r="J1339" s="512">
        <f t="shared" si="122"/>
        <v>0</v>
      </c>
      <c r="K1339" s="512"/>
      <c r="L1339" s="517"/>
      <c r="M1339" s="512">
        <f t="shared" si="123"/>
        <v>0</v>
      </c>
      <c r="N1339" s="517"/>
      <c r="O1339" s="512">
        <f t="shared" si="124"/>
        <v>0</v>
      </c>
      <c r="P1339" s="512">
        <f t="shared" si="125"/>
        <v>0</v>
      </c>
      <c r="Q1339" s="473"/>
    </row>
    <row r="1340" spans="3:17">
      <c r="C1340" s="508">
        <f>IF(D1302="","-",+C1339+1)</f>
        <v>2051</v>
      </c>
      <c r="D1340" s="471">
        <f t="shared" si="126"/>
        <v>36732.314325396801</v>
      </c>
      <c r="E1340" s="515">
        <f t="shared" si="127"/>
        <v>3613.0145238095233</v>
      </c>
      <c r="F1340" s="515">
        <f t="shared" si="120"/>
        <v>33119.29980158728</v>
      </c>
      <c r="G1340" s="471">
        <f t="shared" si="121"/>
        <v>34925.807063492044</v>
      </c>
      <c r="H1340" s="509">
        <f>+J1303*G1340+E1340</f>
        <v>7461.1232935921344</v>
      </c>
      <c r="I1340" s="516">
        <f>+J1304*G1340+E1340</f>
        <v>7461.1232935921344</v>
      </c>
      <c r="J1340" s="512">
        <f t="shared" si="122"/>
        <v>0</v>
      </c>
      <c r="K1340" s="512"/>
      <c r="L1340" s="517"/>
      <c r="M1340" s="512">
        <f t="shared" si="123"/>
        <v>0</v>
      </c>
      <c r="N1340" s="517"/>
      <c r="O1340" s="512">
        <f t="shared" si="124"/>
        <v>0</v>
      </c>
      <c r="P1340" s="512">
        <f t="shared" si="125"/>
        <v>0</v>
      </c>
      <c r="Q1340" s="473"/>
    </row>
    <row r="1341" spans="3:17">
      <c r="C1341" s="508">
        <f>IF(D1302="","-",+C1340+1)</f>
        <v>2052</v>
      </c>
      <c r="D1341" s="471">
        <f t="shared" si="126"/>
        <v>33119.29980158728</v>
      </c>
      <c r="E1341" s="515">
        <f t="shared" si="127"/>
        <v>3613.0145238095233</v>
      </c>
      <c r="F1341" s="515">
        <f t="shared" si="120"/>
        <v>29506.285277777755</v>
      </c>
      <c r="G1341" s="471">
        <f t="shared" si="121"/>
        <v>31312.792539682516</v>
      </c>
      <c r="H1341" s="509">
        <f>+J1303*G1341+E1341</f>
        <v>7063.0430760284162</v>
      </c>
      <c r="I1341" s="516">
        <f>+J1304*G1341+E1341</f>
        <v>7063.0430760284162</v>
      </c>
      <c r="J1341" s="512">
        <f t="shared" si="122"/>
        <v>0</v>
      </c>
      <c r="K1341" s="512"/>
      <c r="L1341" s="517"/>
      <c r="M1341" s="512">
        <f t="shared" si="123"/>
        <v>0</v>
      </c>
      <c r="N1341" s="517"/>
      <c r="O1341" s="512">
        <f t="shared" si="124"/>
        <v>0</v>
      </c>
      <c r="P1341" s="512">
        <f t="shared" si="125"/>
        <v>0</v>
      </c>
      <c r="Q1341" s="473"/>
    </row>
    <row r="1342" spans="3:17">
      <c r="C1342" s="508">
        <f>IF(D1302="","-",+C1341+1)</f>
        <v>2053</v>
      </c>
      <c r="D1342" s="471">
        <f t="shared" si="126"/>
        <v>29506.285277777755</v>
      </c>
      <c r="E1342" s="515">
        <f t="shared" si="127"/>
        <v>3613.0145238095233</v>
      </c>
      <c r="F1342" s="515">
        <f t="shared" si="120"/>
        <v>25893.270753968231</v>
      </c>
      <c r="G1342" s="471">
        <f t="shared" si="121"/>
        <v>27699.778015872995</v>
      </c>
      <c r="H1342" s="509">
        <f>+J1303*G1342+E1342</f>
        <v>6664.962858464698</v>
      </c>
      <c r="I1342" s="516">
        <f>+J1304*G1342+E1342</f>
        <v>6664.962858464698</v>
      </c>
      <c r="J1342" s="512">
        <f t="shared" si="122"/>
        <v>0</v>
      </c>
      <c r="K1342" s="512"/>
      <c r="L1342" s="517"/>
      <c r="M1342" s="512">
        <f t="shared" si="123"/>
        <v>0</v>
      </c>
      <c r="N1342" s="517"/>
      <c r="O1342" s="512">
        <f t="shared" si="124"/>
        <v>0</v>
      </c>
      <c r="P1342" s="512">
        <f t="shared" si="125"/>
        <v>0</v>
      </c>
      <c r="Q1342" s="473"/>
    </row>
    <row r="1343" spans="3:17">
      <c r="C1343" s="508">
        <f>IF(D1302="","-",+C1342+1)</f>
        <v>2054</v>
      </c>
      <c r="D1343" s="471">
        <f t="shared" si="126"/>
        <v>25893.270753968231</v>
      </c>
      <c r="E1343" s="515">
        <f t="shared" si="127"/>
        <v>3613.0145238095233</v>
      </c>
      <c r="F1343" s="515">
        <f t="shared" si="120"/>
        <v>22280.256230158706</v>
      </c>
      <c r="G1343" s="471">
        <f t="shared" si="121"/>
        <v>24086.763492063466</v>
      </c>
      <c r="H1343" s="509">
        <f>+J1303*G1343+E1343</f>
        <v>6266.882640900978</v>
      </c>
      <c r="I1343" s="516">
        <f>+J1304*G1343+E1343</f>
        <v>6266.882640900978</v>
      </c>
      <c r="J1343" s="512">
        <f t="shared" si="122"/>
        <v>0</v>
      </c>
      <c r="K1343" s="512"/>
      <c r="L1343" s="517"/>
      <c r="M1343" s="512">
        <f t="shared" si="123"/>
        <v>0</v>
      </c>
      <c r="N1343" s="517"/>
      <c r="O1343" s="512">
        <f t="shared" si="124"/>
        <v>0</v>
      </c>
      <c r="P1343" s="512">
        <f t="shared" si="125"/>
        <v>0</v>
      </c>
      <c r="Q1343" s="473"/>
    </row>
    <row r="1344" spans="3:17">
      <c r="C1344" s="508">
        <f>IF(D1302="","-",+C1343+1)</f>
        <v>2055</v>
      </c>
      <c r="D1344" s="471">
        <f t="shared" si="126"/>
        <v>22280.256230158706</v>
      </c>
      <c r="E1344" s="515">
        <f t="shared" si="127"/>
        <v>3613.0145238095233</v>
      </c>
      <c r="F1344" s="515">
        <f t="shared" si="120"/>
        <v>18667.241706349181</v>
      </c>
      <c r="G1344" s="471">
        <f t="shared" si="121"/>
        <v>20473.748968253945</v>
      </c>
      <c r="H1344" s="509">
        <f>+J1303*G1344+E1344</f>
        <v>5868.8024233372598</v>
      </c>
      <c r="I1344" s="516">
        <f>+J1304*G1344+E1344</f>
        <v>5868.8024233372598</v>
      </c>
      <c r="J1344" s="512">
        <f t="shared" si="122"/>
        <v>0</v>
      </c>
      <c r="K1344" s="512"/>
      <c r="L1344" s="517"/>
      <c r="M1344" s="512">
        <f t="shared" si="123"/>
        <v>0</v>
      </c>
      <c r="N1344" s="517"/>
      <c r="O1344" s="512">
        <f t="shared" si="124"/>
        <v>0</v>
      </c>
      <c r="P1344" s="512">
        <f t="shared" si="125"/>
        <v>0</v>
      </c>
      <c r="Q1344" s="473"/>
    </row>
    <row r="1345" spans="3:17">
      <c r="C1345" s="508">
        <f>IF(D1302="","-",+C1344+1)</f>
        <v>2056</v>
      </c>
      <c r="D1345" s="471">
        <f t="shared" si="126"/>
        <v>18667.241706349181</v>
      </c>
      <c r="E1345" s="515">
        <f t="shared" si="127"/>
        <v>3613.0145238095233</v>
      </c>
      <c r="F1345" s="515">
        <f t="shared" si="120"/>
        <v>15054.227182539658</v>
      </c>
      <c r="G1345" s="471">
        <f t="shared" si="121"/>
        <v>16860.734444444421</v>
      </c>
      <c r="H1345" s="509">
        <f>+J1303*G1345+E1345</f>
        <v>5470.7222057735416</v>
      </c>
      <c r="I1345" s="516">
        <f>+J1304*G1345+E1345</f>
        <v>5470.7222057735416</v>
      </c>
      <c r="J1345" s="512">
        <f t="shared" si="122"/>
        <v>0</v>
      </c>
      <c r="K1345" s="512"/>
      <c r="L1345" s="517"/>
      <c r="M1345" s="512">
        <f t="shared" si="123"/>
        <v>0</v>
      </c>
      <c r="N1345" s="517"/>
      <c r="O1345" s="512">
        <f t="shared" si="124"/>
        <v>0</v>
      </c>
      <c r="P1345" s="512">
        <f t="shared" si="125"/>
        <v>0</v>
      </c>
      <c r="Q1345" s="473"/>
    </row>
    <row r="1346" spans="3:17">
      <c r="C1346" s="508">
        <f>IF(D1302="","-",+C1345+1)</f>
        <v>2057</v>
      </c>
      <c r="D1346" s="471">
        <f t="shared" si="126"/>
        <v>15054.227182539658</v>
      </c>
      <c r="E1346" s="515">
        <f t="shared" si="127"/>
        <v>3613.0145238095233</v>
      </c>
      <c r="F1346" s="515">
        <f t="shared" si="120"/>
        <v>11441.212658730135</v>
      </c>
      <c r="G1346" s="471">
        <f t="shared" si="121"/>
        <v>13247.719920634896</v>
      </c>
      <c r="H1346" s="509">
        <f>+J1303*G1346+E1346</f>
        <v>5072.6419882098226</v>
      </c>
      <c r="I1346" s="516">
        <f>+J1304*G1346+E1346</f>
        <v>5072.6419882098226</v>
      </c>
      <c r="J1346" s="512">
        <f t="shared" si="122"/>
        <v>0</v>
      </c>
      <c r="K1346" s="512"/>
      <c r="L1346" s="517"/>
      <c r="M1346" s="512">
        <f t="shared" si="123"/>
        <v>0</v>
      </c>
      <c r="N1346" s="517"/>
      <c r="O1346" s="512">
        <f t="shared" si="124"/>
        <v>0</v>
      </c>
      <c r="P1346" s="512">
        <f t="shared" si="125"/>
        <v>0</v>
      </c>
      <c r="Q1346" s="473"/>
    </row>
    <row r="1347" spans="3:17">
      <c r="C1347" s="508">
        <f>IF(D1302="","-",+C1346+1)</f>
        <v>2058</v>
      </c>
      <c r="D1347" s="471">
        <f t="shared" si="126"/>
        <v>11441.212658730135</v>
      </c>
      <c r="E1347" s="515">
        <f t="shared" si="127"/>
        <v>3613.0145238095233</v>
      </c>
      <c r="F1347" s="515">
        <f t="shared" si="120"/>
        <v>7828.1981349206126</v>
      </c>
      <c r="G1347" s="471">
        <f t="shared" si="121"/>
        <v>9634.7053968253749</v>
      </c>
      <c r="H1347" s="509">
        <f>+J1303*G1347+E1347</f>
        <v>4674.5617706461035</v>
      </c>
      <c r="I1347" s="516">
        <f>+J1304*G1347+E1347</f>
        <v>4674.5617706461035</v>
      </c>
      <c r="J1347" s="512">
        <f t="shared" si="122"/>
        <v>0</v>
      </c>
      <c r="K1347" s="512"/>
      <c r="L1347" s="517"/>
      <c r="M1347" s="512">
        <f t="shared" si="123"/>
        <v>0</v>
      </c>
      <c r="N1347" s="517"/>
      <c r="O1347" s="512">
        <f t="shared" si="124"/>
        <v>0</v>
      </c>
      <c r="P1347" s="512">
        <f t="shared" si="125"/>
        <v>0</v>
      </c>
      <c r="Q1347" s="473"/>
    </row>
    <row r="1348" spans="3:17">
      <c r="C1348" s="508">
        <f>IF(D1302="","-",+C1347+1)</f>
        <v>2059</v>
      </c>
      <c r="D1348" s="471">
        <f t="shared" si="126"/>
        <v>7828.1981349206126</v>
      </c>
      <c r="E1348" s="515">
        <f t="shared" si="127"/>
        <v>3613.0145238095233</v>
      </c>
      <c r="F1348" s="515">
        <f t="shared" si="120"/>
        <v>4215.1836111110897</v>
      </c>
      <c r="G1348" s="471">
        <f t="shared" si="121"/>
        <v>6021.6908730158511</v>
      </c>
      <c r="H1348" s="509">
        <f>+J1303*G1348+E1348</f>
        <v>4276.4815530823853</v>
      </c>
      <c r="I1348" s="516">
        <f>+J1304*G1348+E1348</f>
        <v>4276.4815530823853</v>
      </c>
      <c r="J1348" s="512">
        <f t="shared" si="122"/>
        <v>0</v>
      </c>
      <c r="K1348" s="512"/>
      <c r="L1348" s="517"/>
      <c r="M1348" s="512">
        <f t="shared" si="123"/>
        <v>0</v>
      </c>
      <c r="N1348" s="517"/>
      <c r="O1348" s="512">
        <f t="shared" si="124"/>
        <v>0</v>
      </c>
      <c r="P1348" s="512">
        <f t="shared" si="125"/>
        <v>0</v>
      </c>
      <c r="Q1348" s="473"/>
    </row>
    <row r="1349" spans="3:17">
      <c r="C1349" s="508">
        <f>IF(D1302="","-",+C1348+1)</f>
        <v>2060</v>
      </c>
      <c r="D1349" s="471">
        <f t="shared" si="126"/>
        <v>4215.1836111110897</v>
      </c>
      <c r="E1349" s="515">
        <f t="shared" si="127"/>
        <v>3613.0145238095233</v>
      </c>
      <c r="F1349" s="515">
        <f t="shared" si="120"/>
        <v>602.16908730156638</v>
      </c>
      <c r="G1349" s="471">
        <f t="shared" si="121"/>
        <v>2408.6763492063283</v>
      </c>
      <c r="H1349" s="509">
        <f>+J1303*G1349+E1349</f>
        <v>3878.4013355186667</v>
      </c>
      <c r="I1349" s="516">
        <f>+J1304*G1349+E1349</f>
        <v>3878.4013355186667</v>
      </c>
      <c r="J1349" s="512">
        <f t="shared" si="122"/>
        <v>0</v>
      </c>
      <c r="K1349" s="512"/>
      <c r="L1349" s="517"/>
      <c r="M1349" s="512">
        <f t="shared" si="123"/>
        <v>0</v>
      </c>
      <c r="N1349" s="517"/>
      <c r="O1349" s="512">
        <f t="shared" si="124"/>
        <v>0</v>
      </c>
      <c r="P1349" s="512">
        <f t="shared" si="125"/>
        <v>0</v>
      </c>
      <c r="Q1349" s="473"/>
    </row>
    <row r="1350" spans="3:17">
      <c r="C1350" s="508">
        <f>IF(D1302="","-",+C1349+1)</f>
        <v>2061</v>
      </c>
      <c r="D1350" s="471">
        <f t="shared" si="126"/>
        <v>602.16908730156638</v>
      </c>
      <c r="E1350" s="515">
        <f t="shared" si="127"/>
        <v>602.16908730156638</v>
      </c>
      <c r="F1350" s="515">
        <f t="shared" si="120"/>
        <v>0</v>
      </c>
      <c r="G1350" s="471">
        <f t="shared" si="121"/>
        <v>301.08454365078319</v>
      </c>
      <c r="H1350" s="509">
        <f>+J1303*G1350+E1350</f>
        <v>635.3424387652085</v>
      </c>
      <c r="I1350" s="516">
        <f>+J1304*G1350+E1350</f>
        <v>635.3424387652085</v>
      </c>
      <c r="J1350" s="512">
        <f t="shared" si="122"/>
        <v>0</v>
      </c>
      <c r="K1350" s="512"/>
      <c r="L1350" s="517"/>
      <c r="M1350" s="512">
        <f t="shared" si="123"/>
        <v>0</v>
      </c>
      <c r="N1350" s="517"/>
      <c r="O1350" s="512">
        <f t="shared" si="124"/>
        <v>0</v>
      </c>
      <c r="P1350" s="512">
        <f t="shared" si="125"/>
        <v>0</v>
      </c>
      <c r="Q1350" s="473"/>
    </row>
    <row r="1351" spans="3:17">
      <c r="C1351" s="508">
        <f>IF(D1302="","-",+C1350+1)</f>
        <v>2062</v>
      </c>
      <c r="D1351" s="471">
        <f t="shared" si="126"/>
        <v>0</v>
      </c>
      <c r="E1351" s="515">
        <f t="shared" si="127"/>
        <v>0</v>
      </c>
      <c r="F1351" s="515">
        <f t="shared" si="120"/>
        <v>0</v>
      </c>
      <c r="G1351" s="471">
        <f t="shared" si="121"/>
        <v>0</v>
      </c>
      <c r="H1351" s="509">
        <f>+J1303*G1351+E1351</f>
        <v>0</v>
      </c>
      <c r="I1351" s="516">
        <f>+J1304*G1351+E1351</f>
        <v>0</v>
      </c>
      <c r="J1351" s="512">
        <f t="shared" si="122"/>
        <v>0</v>
      </c>
      <c r="K1351" s="512"/>
      <c r="L1351" s="517"/>
      <c r="M1351" s="512">
        <f t="shared" si="123"/>
        <v>0</v>
      </c>
      <c r="N1351" s="517"/>
      <c r="O1351" s="512">
        <f t="shared" si="124"/>
        <v>0</v>
      </c>
      <c r="P1351" s="512">
        <f t="shared" si="125"/>
        <v>0</v>
      </c>
      <c r="Q1351" s="473"/>
    </row>
    <row r="1352" spans="3:17">
      <c r="C1352" s="508">
        <f>IF(D1302="","-",+C1351+1)</f>
        <v>2063</v>
      </c>
      <c r="D1352" s="471">
        <f t="shared" si="126"/>
        <v>0</v>
      </c>
      <c r="E1352" s="515">
        <f t="shared" si="127"/>
        <v>0</v>
      </c>
      <c r="F1352" s="515">
        <f t="shared" si="120"/>
        <v>0</v>
      </c>
      <c r="G1352" s="471">
        <f t="shared" si="121"/>
        <v>0</v>
      </c>
      <c r="H1352" s="509">
        <f>+J1303*G1352+E1352</f>
        <v>0</v>
      </c>
      <c r="I1352" s="516">
        <f>+J1304*G1352+E1352</f>
        <v>0</v>
      </c>
      <c r="J1352" s="512">
        <f t="shared" si="122"/>
        <v>0</v>
      </c>
      <c r="K1352" s="512"/>
      <c r="L1352" s="517"/>
      <c r="M1352" s="512">
        <f t="shared" si="123"/>
        <v>0</v>
      </c>
      <c r="N1352" s="517"/>
      <c r="O1352" s="512">
        <f t="shared" si="124"/>
        <v>0</v>
      </c>
      <c r="P1352" s="512">
        <f t="shared" si="125"/>
        <v>0</v>
      </c>
      <c r="Q1352" s="473"/>
    </row>
    <row r="1353" spans="3:17">
      <c r="C1353" s="508">
        <f>IF(D1302="","-",+C1352+1)</f>
        <v>2064</v>
      </c>
      <c r="D1353" s="471">
        <f t="shared" si="126"/>
        <v>0</v>
      </c>
      <c r="E1353" s="515">
        <f t="shared" si="127"/>
        <v>0</v>
      </c>
      <c r="F1353" s="515">
        <f t="shared" si="120"/>
        <v>0</v>
      </c>
      <c r="G1353" s="471">
        <f t="shared" si="121"/>
        <v>0</v>
      </c>
      <c r="H1353" s="509">
        <f>+J1303*G1353+E1353</f>
        <v>0</v>
      </c>
      <c r="I1353" s="516">
        <f>+J1304*G1353+E1353</f>
        <v>0</v>
      </c>
      <c r="J1353" s="512">
        <f t="shared" si="122"/>
        <v>0</v>
      </c>
      <c r="K1353" s="512"/>
      <c r="L1353" s="517"/>
      <c r="M1353" s="512">
        <f t="shared" si="123"/>
        <v>0</v>
      </c>
      <c r="N1353" s="517"/>
      <c r="O1353" s="512">
        <f t="shared" si="124"/>
        <v>0</v>
      </c>
      <c r="P1353" s="512">
        <f t="shared" si="125"/>
        <v>0</v>
      </c>
      <c r="Q1353" s="473"/>
    </row>
    <row r="1354" spans="3:17">
      <c r="C1354" s="508">
        <f>IF(D1302="","-",+C1353+1)</f>
        <v>2065</v>
      </c>
      <c r="D1354" s="471">
        <f t="shared" si="126"/>
        <v>0</v>
      </c>
      <c r="E1354" s="515">
        <f t="shared" si="127"/>
        <v>0</v>
      </c>
      <c r="F1354" s="515">
        <f t="shared" si="120"/>
        <v>0</v>
      </c>
      <c r="G1354" s="471">
        <f t="shared" si="121"/>
        <v>0</v>
      </c>
      <c r="H1354" s="509">
        <f>+J1303*G1354+E1354</f>
        <v>0</v>
      </c>
      <c r="I1354" s="516">
        <f>+J1304*G1354+E1354</f>
        <v>0</v>
      </c>
      <c r="J1354" s="512">
        <f t="shared" si="122"/>
        <v>0</v>
      </c>
      <c r="K1354" s="512"/>
      <c r="L1354" s="517"/>
      <c r="M1354" s="512">
        <f t="shared" si="123"/>
        <v>0</v>
      </c>
      <c r="N1354" s="517"/>
      <c r="O1354" s="512">
        <f t="shared" si="124"/>
        <v>0</v>
      </c>
      <c r="P1354" s="512">
        <f t="shared" si="125"/>
        <v>0</v>
      </c>
      <c r="Q1354" s="473"/>
    </row>
    <row r="1355" spans="3:17">
      <c r="C1355" s="508">
        <f>IF(D1302="","-",+C1354+1)</f>
        <v>2066</v>
      </c>
      <c r="D1355" s="471">
        <f t="shared" si="126"/>
        <v>0</v>
      </c>
      <c r="E1355" s="515">
        <f t="shared" si="127"/>
        <v>0</v>
      </c>
      <c r="F1355" s="515">
        <f t="shared" si="120"/>
        <v>0</v>
      </c>
      <c r="G1355" s="471">
        <f t="shared" si="121"/>
        <v>0</v>
      </c>
      <c r="H1355" s="509">
        <f>+J1303*G1355+E1355</f>
        <v>0</v>
      </c>
      <c r="I1355" s="516">
        <f>+J1304*G1355+E1355</f>
        <v>0</v>
      </c>
      <c r="J1355" s="512">
        <f t="shared" si="122"/>
        <v>0</v>
      </c>
      <c r="K1355" s="512"/>
      <c r="L1355" s="517"/>
      <c r="M1355" s="512">
        <f t="shared" si="123"/>
        <v>0</v>
      </c>
      <c r="N1355" s="517"/>
      <c r="O1355" s="512">
        <f t="shared" si="124"/>
        <v>0</v>
      </c>
      <c r="P1355" s="512">
        <f t="shared" si="125"/>
        <v>0</v>
      </c>
      <c r="Q1355" s="473"/>
    </row>
    <row r="1356" spans="3:17">
      <c r="C1356" s="508">
        <f>IF(D1302="","-",+C1355+1)</f>
        <v>2067</v>
      </c>
      <c r="D1356" s="471">
        <f t="shared" si="126"/>
        <v>0</v>
      </c>
      <c r="E1356" s="515">
        <f t="shared" si="127"/>
        <v>0</v>
      </c>
      <c r="F1356" s="515">
        <f t="shared" si="120"/>
        <v>0</v>
      </c>
      <c r="G1356" s="471">
        <f t="shared" si="121"/>
        <v>0</v>
      </c>
      <c r="H1356" s="509">
        <f>+J1303*G1356+E1356</f>
        <v>0</v>
      </c>
      <c r="I1356" s="516">
        <f>+J1304*G1356+E1356</f>
        <v>0</v>
      </c>
      <c r="J1356" s="512">
        <f t="shared" si="122"/>
        <v>0</v>
      </c>
      <c r="K1356" s="512"/>
      <c r="L1356" s="517"/>
      <c r="M1356" s="512">
        <f t="shared" si="123"/>
        <v>0</v>
      </c>
      <c r="N1356" s="517"/>
      <c r="O1356" s="512">
        <f t="shared" si="124"/>
        <v>0</v>
      </c>
      <c r="P1356" s="512">
        <f t="shared" si="125"/>
        <v>0</v>
      </c>
      <c r="Q1356" s="473"/>
    </row>
    <row r="1357" spans="3:17">
      <c r="C1357" s="508">
        <f>IF(D1302="","-",+C1356+1)</f>
        <v>2068</v>
      </c>
      <c r="D1357" s="471">
        <f t="shared" si="126"/>
        <v>0</v>
      </c>
      <c r="E1357" s="515">
        <f t="shared" si="127"/>
        <v>0</v>
      </c>
      <c r="F1357" s="515">
        <f t="shared" si="120"/>
        <v>0</v>
      </c>
      <c r="G1357" s="471">
        <f t="shared" si="121"/>
        <v>0</v>
      </c>
      <c r="H1357" s="509">
        <f>+J1303*G1357+E1357</f>
        <v>0</v>
      </c>
      <c r="I1357" s="516">
        <f>+J1304*G1357+E1357</f>
        <v>0</v>
      </c>
      <c r="J1357" s="512">
        <f t="shared" si="122"/>
        <v>0</v>
      </c>
      <c r="K1357" s="512"/>
      <c r="L1357" s="517"/>
      <c r="M1357" s="512">
        <f t="shared" si="123"/>
        <v>0</v>
      </c>
      <c r="N1357" s="517"/>
      <c r="O1357" s="512">
        <f t="shared" si="124"/>
        <v>0</v>
      </c>
      <c r="P1357" s="512">
        <f t="shared" si="125"/>
        <v>0</v>
      </c>
      <c r="Q1357" s="473"/>
    </row>
    <row r="1358" spans="3:17">
      <c r="C1358" s="508">
        <f>IF(D1302="","-",+C1357+1)</f>
        <v>2069</v>
      </c>
      <c r="D1358" s="471">
        <f t="shared" si="126"/>
        <v>0</v>
      </c>
      <c r="E1358" s="515">
        <f t="shared" si="127"/>
        <v>0</v>
      </c>
      <c r="F1358" s="515">
        <f t="shared" si="120"/>
        <v>0</v>
      </c>
      <c r="G1358" s="471">
        <f t="shared" si="121"/>
        <v>0</v>
      </c>
      <c r="H1358" s="509">
        <f>+J1303*G1358+E1358</f>
        <v>0</v>
      </c>
      <c r="I1358" s="516">
        <f>+J1304*G1358+E1358</f>
        <v>0</v>
      </c>
      <c r="J1358" s="512">
        <f t="shared" si="122"/>
        <v>0</v>
      </c>
      <c r="K1358" s="512"/>
      <c r="L1358" s="517"/>
      <c r="M1358" s="512">
        <f t="shared" si="123"/>
        <v>0</v>
      </c>
      <c r="N1358" s="517"/>
      <c r="O1358" s="512">
        <f t="shared" si="124"/>
        <v>0</v>
      </c>
      <c r="P1358" s="512">
        <f t="shared" si="125"/>
        <v>0</v>
      </c>
      <c r="Q1358" s="473"/>
    </row>
    <row r="1359" spans="3:17">
      <c r="C1359" s="508">
        <f>IF(D1302="","-",+C1358+1)</f>
        <v>2070</v>
      </c>
      <c r="D1359" s="471">
        <f t="shared" si="126"/>
        <v>0</v>
      </c>
      <c r="E1359" s="515">
        <f t="shared" si="127"/>
        <v>0</v>
      </c>
      <c r="F1359" s="515">
        <f t="shared" si="120"/>
        <v>0</v>
      </c>
      <c r="G1359" s="471">
        <f t="shared" si="121"/>
        <v>0</v>
      </c>
      <c r="H1359" s="509">
        <f>+J1303*G1359+E1359</f>
        <v>0</v>
      </c>
      <c r="I1359" s="516">
        <f>+J1304*G1359+E1359</f>
        <v>0</v>
      </c>
      <c r="J1359" s="512">
        <f t="shared" si="122"/>
        <v>0</v>
      </c>
      <c r="K1359" s="512"/>
      <c r="L1359" s="517"/>
      <c r="M1359" s="512">
        <f t="shared" si="123"/>
        <v>0</v>
      </c>
      <c r="N1359" s="517"/>
      <c r="O1359" s="512">
        <f t="shared" si="124"/>
        <v>0</v>
      </c>
      <c r="P1359" s="512">
        <f t="shared" si="125"/>
        <v>0</v>
      </c>
      <c r="Q1359" s="473"/>
    </row>
    <row r="1360" spans="3:17">
      <c r="C1360" s="508">
        <f>IF(D1302="","-",+C1359+1)</f>
        <v>2071</v>
      </c>
      <c r="D1360" s="471">
        <f t="shared" si="126"/>
        <v>0</v>
      </c>
      <c r="E1360" s="515">
        <f t="shared" si="127"/>
        <v>0</v>
      </c>
      <c r="F1360" s="515">
        <f t="shared" si="120"/>
        <v>0</v>
      </c>
      <c r="G1360" s="471">
        <f t="shared" si="121"/>
        <v>0</v>
      </c>
      <c r="H1360" s="509">
        <f>+J1303*G1360+E1360</f>
        <v>0</v>
      </c>
      <c r="I1360" s="516">
        <f>+J1304*G1360+E1360</f>
        <v>0</v>
      </c>
      <c r="J1360" s="512">
        <f t="shared" si="122"/>
        <v>0</v>
      </c>
      <c r="K1360" s="512"/>
      <c r="L1360" s="517"/>
      <c r="M1360" s="512">
        <f t="shared" si="123"/>
        <v>0</v>
      </c>
      <c r="N1360" s="517"/>
      <c r="O1360" s="512">
        <f t="shared" si="124"/>
        <v>0</v>
      </c>
      <c r="P1360" s="512">
        <f t="shared" si="125"/>
        <v>0</v>
      </c>
      <c r="Q1360" s="473"/>
    </row>
    <row r="1361" spans="3:17">
      <c r="C1361" s="508">
        <f>IF(D1302="","-",+C1360+1)</f>
        <v>2072</v>
      </c>
      <c r="D1361" s="471">
        <f t="shared" si="126"/>
        <v>0</v>
      </c>
      <c r="E1361" s="515">
        <f t="shared" si="127"/>
        <v>0</v>
      </c>
      <c r="F1361" s="515">
        <f t="shared" si="120"/>
        <v>0</v>
      </c>
      <c r="G1361" s="471">
        <f t="shared" si="121"/>
        <v>0</v>
      </c>
      <c r="H1361" s="509">
        <f>+J1303*G1361+E1361</f>
        <v>0</v>
      </c>
      <c r="I1361" s="516">
        <f>+J1304*G1361+E1361</f>
        <v>0</v>
      </c>
      <c r="J1361" s="512">
        <f t="shared" si="122"/>
        <v>0</v>
      </c>
      <c r="K1361" s="512"/>
      <c r="L1361" s="517"/>
      <c r="M1361" s="512">
        <f t="shared" si="123"/>
        <v>0</v>
      </c>
      <c r="N1361" s="517"/>
      <c r="O1361" s="512">
        <f t="shared" si="124"/>
        <v>0</v>
      </c>
      <c r="P1361" s="512">
        <f t="shared" si="125"/>
        <v>0</v>
      </c>
      <c r="Q1361" s="473"/>
    </row>
    <row r="1362" spans="3:17">
      <c r="C1362" s="508">
        <f>IF(D1302="","-",+C1361+1)</f>
        <v>2073</v>
      </c>
      <c r="D1362" s="471">
        <f t="shared" si="126"/>
        <v>0</v>
      </c>
      <c r="E1362" s="515">
        <f t="shared" si="127"/>
        <v>0</v>
      </c>
      <c r="F1362" s="515">
        <f t="shared" si="120"/>
        <v>0</v>
      </c>
      <c r="G1362" s="471">
        <f t="shared" si="121"/>
        <v>0</v>
      </c>
      <c r="H1362" s="509">
        <f>+J1303*G1362+E1362</f>
        <v>0</v>
      </c>
      <c r="I1362" s="516">
        <f>+J1304*G1362+E1362</f>
        <v>0</v>
      </c>
      <c r="J1362" s="512">
        <f t="shared" si="122"/>
        <v>0</v>
      </c>
      <c r="K1362" s="512"/>
      <c r="L1362" s="517"/>
      <c r="M1362" s="512">
        <f t="shared" si="123"/>
        <v>0</v>
      </c>
      <c r="N1362" s="517"/>
      <c r="O1362" s="512">
        <f t="shared" si="124"/>
        <v>0</v>
      </c>
      <c r="P1362" s="512">
        <f t="shared" si="125"/>
        <v>0</v>
      </c>
      <c r="Q1362" s="473"/>
    </row>
    <row r="1363" spans="3:17">
      <c r="C1363" s="508">
        <f>IF(D1302="","-",+C1362+1)</f>
        <v>2074</v>
      </c>
      <c r="D1363" s="471">
        <f t="shared" si="126"/>
        <v>0</v>
      </c>
      <c r="E1363" s="515">
        <f t="shared" si="127"/>
        <v>0</v>
      </c>
      <c r="F1363" s="515">
        <f t="shared" si="120"/>
        <v>0</v>
      </c>
      <c r="G1363" s="471">
        <f t="shared" si="121"/>
        <v>0</v>
      </c>
      <c r="H1363" s="509">
        <f>+J1303*G1363+E1363</f>
        <v>0</v>
      </c>
      <c r="I1363" s="516">
        <f>+J1304*G1363+E1363</f>
        <v>0</v>
      </c>
      <c r="J1363" s="512">
        <f t="shared" si="122"/>
        <v>0</v>
      </c>
      <c r="K1363" s="512"/>
      <c r="L1363" s="517"/>
      <c r="M1363" s="512">
        <f t="shared" si="123"/>
        <v>0</v>
      </c>
      <c r="N1363" s="517"/>
      <c r="O1363" s="512">
        <f t="shared" si="124"/>
        <v>0</v>
      </c>
      <c r="P1363" s="512">
        <f t="shared" si="125"/>
        <v>0</v>
      </c>
      <c r="Q1363" s="473"/>
    </row>
    <row r="1364" spans="3:17">
      <c r="C1364" s="508">
        <f>IF(D1302="","-",+C1363+1)</f>
        <v>2075</v>
      </c>
      <c r="D1364" s="471">
        <f t="shared" si="126"/>
        <v>0</v>
      </c>
      <c r="E1364" s="515">
        <f t="shared" si="127"/>
        <v>0</v>
      </c>
      <c r="F1364" s="515">
        <f t="shared" si="120"/>
        <v>0</v>
      </c>
      <c r="G1364" s="471">
        <f t="shared" si="121"/>
        <v>0</v>
      </c>
      <c r="H1364" s="509">
        <f>+J1303*G1364+E1364</f>
        <v>0</v>
      </c>
      <c r="I1364" s="516">
        <f>+J1304*G1364+E1364</f>
        <v>0</v>
      </c>
      <c r="J1364" s="512">
        <f t="shared" si="122"/>
        <v>0</v>
      </c>
      <c r="K1364" s="512"/>
      <c r="L1364" s="517"/>
      <c r="M1364" s="512">
        <f t="shared" si="123"/>
        <v>0</v>
      </c>
      <c r="N1364" s="517"/>
      <c r="O1364" s="512">
        <f t="shared" si="124"/>
        <v>0</v>
      </c>
      <c r="P1364" s="512">
        <f t="shared" si="125"/>
        <v>0</v>
      </c>
      <c r="Q1364" s="473"/>
    </row>
    <row r="1365" spans="3:17">
      <c r="C1365" s="508">
        <f>IF(D1302="","-",+C1364+1)</f>
        <v>2076</v>
      </c>
      <c r="D1365" s="471">
        <f t="shared" si="126"/>
        <v>0</v>
      </c>
      <c r="E1365" s="515">
        <f t="shared" si="127"/>
        <v>0</v>
      </c>
      <c r="F1365" s="515">
        <f t="shared" si="120"/>
        <v>0</v>
      </c>
      <c r="G1365" s="471">
        <f t="shared" si="121"/>
        <v>0</v>
      </c>
      <c r="H1365" s="509">
        <f>+J1303*G1365+E1365</f>
        <v>0</v>
      </c>
      <c r="I1365" s="516">
        <f>+J1304*G1365+E1365</f>
        <v>0</v>
      </c>
      <c r="J1365" s="512">
        <f t="shared" si="122"/>
        <v>0</v>
      </c>
      <c r="K1365" s="512"/>
      <c r="L1365" s="517"/>
      <c r="M1365" s="512">
        <f t="shared" si="123"/>
        <v>0</v>
      </c>
      <c r="N1365" s="517"/>
      <c r="O1365" s="512">
        <f t="shared" si="124"/>
        <v>0</v>
      </c>
      <c r="P1365" s="512">
        <f t="shared" si="125"/>
        <v>0</v>
      </c>
      <c r="Q1365" s="473"/>
    </row>
    <row r="1366" spans="3:17">
      <c r="C1366" s="508">
        <f>IF(D1302="","-",+C1365+1)</f>
        <v>2077</v>
      </c>
      <c r="D1366" s="471">
        <f t="shared" si="126"/>
        <v>0</v>
      </c>
      <c r="E1366" s="515">
        <f t="shared" si="127"/>
        <v>0</v>
      </c>
      <c r="F1366" s="515">
        <f t="shared" si="120"/>
        <v>0</v>
      </c>
      <c r="G1366" s="471">
        <f t="shared" si="121"/>
        <v>0</v>
      </c>
      <c r="H1366" s="509">
        <f>+J1303*G1366+E1366</f>
        <v>0</v>
      </c>
      <c r="I1366" s="516">
        <f>+J1304*G1366+E1366</f>
        <v>0</v>
      </c>
      <c r="J1366" s="512">
        <f t="shared" si="122"/>
        <v>0</v>
      </c>
      <c r="K1366" s="512"/>
      <c r="L1366" s="517"/>
      <c r="M1366" s="512">
        <f t="shared" si="123"/>
        <v>0</v>
      </c>
      <c r="N1366" s="517"/>
      <c r="O1366" s="512">
        <f t="shared" si="124"/>
        <v>0</v>
      </c>
      <c r="P1366" s="512">
        <f t="shared" si="125"/>
        <v>0</v>
      </c>
      <c r="Q1366" s="473"/>
    </row>
    <row r="1367" spans="3:17" ht="13.5" thickBot="1">
      <c r="C1367" s="520">
        <f>IF(D1302="","-",+C1366+1)</f>
        <v>2078</v>
      </c>
      <c r="D1367" s="521">
        <f t="shared" si="126"/>
        <v>0</v>
      </c>
      <c r="E1367" s="515">
        <f t="shared" si="127"/>
        <v>0</v>
      </c>
      <c r="F1367" s="522">
        <f t="shared" si="120"/>
        <v>0</v>
      </c>
      <c r="G1367" s="521">
        <f t="shared" si="121"/>
        <v>0</v>
      </c>
      <c r="H1367" s="523">
        <f>+J1303*G1367+E1367</f>
        <v>0</v>
      </c>
      <c r="I1367" s="523">
        <f>+J1304*G1367+E1367</f>
        <v>0</v>
      </c>
      <c r="J1367" s="524">
        <f t="shared" si="122"/>
        <v>0</v>
      </c>
      <c r="K1367" s="512"/>
      <c r="L1367" s="525"/>
      <c r="M1367" s="524">
        <f t="shared" si="123"/>
        <v>0</v>
      </c>
      <c r="N1367" s="525"/>
      <c r="O1367" s="524">
        <f t="shared" si="124"/>
        <v>0</v>
      </c>
      <c r="P1367" s="524">
        <f t="shared" si="125"/>
        <v>0</v>
      </c>
      <c r="Q1367" s="473"/>
    </row>
    <row r="1368" spans="3:17">
      <c r="C1368" s="471" t="s">
        <v>288</v>
      </c>
      <c r="D1368" s="469"/>
      <c r="E1368" s="469">
        <f>SUM(E1308:E1367)</f>
        <v>151746.60999999999</v>
      </c>
      <c r="F1368" s="469"/>
      <c r="G1368" s="469"/>
      <c r="H1368" s="469">
        <f>SUM(H1308:H1367)</f>
        <v>505639.92341414571</v>
      </c>
      <c r="I1368" s="469">
        <f>SUM(I1308:I1367)</f>
        <v>505639.92341414571</v>
      </c>
      <c r="J1368" s="469">
        <f>SUM(J1308:J1367)</f>
        <v>0</v>
      </c>
      <c r="K1368" s="469"/>
      <c r="L1368" s="469"/>
      <c r="M1368" s="469"/>
      <c r="N1368" s="469"/>
      <c r="O1368" s="469"/>
      <c r="Q1368" s="469"/>
    </row>
    <row r="1369" spans="3:17">
      <c r="D1369" s="78"/>
      <c r="E1369" s="4"/>
      <c r="F1369" s="4"/>
      <c r="G1369" s="4"/>
      <c r="H1369" s="4"/>
      <c r="I1369" s="454"/>
      <c r="J1369" s="454"/>
      <c r="K1369" s="469"/>
      <c r="L1369" s="454"/>
      <c r="M1369" s="454"/>
      <c r="N1369" s="454"/>
      <c r="O1369" s="454"/>
      <c r="Q1369" s="469"/>
    </row>
    <row r="1370" spans="3:17">
      <c r="C1370" s="4" t="s">
        <v>600</v>
      </c>
      <c r="D1370" s="78"/>
      <c r="E1370" s="4"/>
      <c r="F1370" s="4"/>
      <c r="G1370" s="4"/>
      <c r="H1370" s="4"/>
      <c r="I1370" s="454"/>
      <c r="J1370" s="454"/>
      <c r="K1370" s="469"/>
      <c r="L1370" s="454"/>
      <c r="M1370" s="454"/>
      <c r="N1370" s="454"/>
      <c r="O1370" s="454"/>
      <c r="Q1370" s="469"/>
    </row>
    <row r="1371" spans="3:17">
      <c r="D1371" s="78"/>
      <c r="E1371" s="4"/>
      <c r="F1371" s="4"/>
      <c r="G1371" s="4"/>
      <c r="H1371" s="4"/>
      <c r="I1371" s="454"/>
      <c r="J1371" s="454"/>
      <c r="K1371" s="469"/>
      <c r="L1371" s="454"/>
      <c r="M1371" s="454"/>
      <c r="N1371" s="454"/>
      <c r="O1371" s="454"/>
      <c r="Q1371" s="469"/>
    </row>
    <row r="1372" spans="3:17">
      <c r="C1372" s="4" t="s">
        <v>601</v>
      </c>
      <c r="D1372" s="471"/>
      <c r="E1372" s="471"/>
      <c r="F1372" s="471"/>
      <c r="G1372" s="471"/>
      <c r="H1372" s="469"/>
      <c r="I1372" s="469"/>
      <c r="J1372" s="473"/>
      <c r="K1372" s="473"/>
      <c r="L1372" s="473"/>
      <c r="M1372" s="473"/>
      <c r="N1372" s="473"/>
      <c r="O1372" s="473"/>
      <c r="Q1372" s="473"/>
    </row>
    <row r="1373" spans="3:17">
      <c r="C1373" s="4" t="s">
        <v>476</v>
      </c>
      <c r="D1373" s="471"/>
      <c r="E1373" s="471"/>
      <c r="F1373" s="471"/>
      <c r="G1373" s="471"/>
      <c r="H1373" s="469"/>
      <c r="I1373" s="469"/>
      <c r="J1373" s="473"/>
      <c r="K1373" s="473"/>
      <c r="L1373" s="473"/>
      <c r="M1373" s="473"/>
      <c r="N1373" s="473"/>
      <c r="O1373" s="473"/>
      <c r="Q1373" s="473"/>
    </row>
    <row r="1374" spans="3:17">
      <c r="C1374" s="4" t="s">
        <v>289</v>
      </c>
      <c r="D1374" s="471"/>
      <c r="E1374" s="471"/>
      <c r="F1374" s="471"/>
      <c r="G1374" s="471"/>
      <c r="H1374" s="469"/>
      <c r="I1374" s="469"/>
      <c r="J1374" s="473"/>
      <c r="K1374" s="473"/>
      <c r="L1374" s="473"/>
      <c r="M1374" s="473"/>
      <c r="N1374" s="473"/>
      <c r="O1374" s="473"/>
      <c r="Q1374" s="473"/>
    </row>
  </sheetData>
  <mergeCells count="38">
    <mergeCell ref="L697:O697"/>
    <mergeCell ref="D521:H521"/>
    <mergeCell ref="L525:O525"/>
    <mergeCell ref="D607:H607"/>
    <mergeCell ref="L611:O611"/>
    <mergeCell ref="D693:H693"/>
    <mergeCell ref="L267:O267"/>
    <mergeCell ref="D349:G349"/>
    <mergeCell ref="L353:O353"/>
    <mergeCell ref="L439:O439"/>
    <mergeCell ref="D435:H435"/>
    <mergeCell ref="A3:P3"/>
    <mergeCell ref="C11:I12"/>
    <mergeCell ref="A4:P4"/>
    <mergeCell ref="A5:P5"/>
    <mergeCell ref="A6:P6"/>
    <mergeCell ref="C51:D52"/>
    <mergeCell ref="D91:G91"/>
    <mergeCell ref="D177:G177"/>
    <mergeCell ref="L181:O181"/>
    <mergeCell ref="D263:G263"/>
    <mergeCell ref="C60:D61"/>
    <mergeCell ref="C71:D72"/>
    <mergeCell ref="L95:O95"/>
    <mergeCell ref="D1297:H1297"/>
    <mergeCell ref="L1301:O1301"/>
    <mergeCell ref="D779:H779"/>
    <mergeCell ref="L783:O783"/>
    <mergeCell ref="D1123:H1123"/>
    <mergeCell ref="L1127:O1127"/>
    <mergeCell ref="D865:H865"/>
    <mergeCell ref="L869:O869"/>
    <mergeCell ref="D951:H951"/>
    <mergeCell ref="L955:O955"/>
    <mergeCell ref="D1037:H1037"/>
    <mergeCell ref="L1041:O1041"/>
    <mergeCell ref="D1210:H1210"/>
    <mergeCell ref="L1214:O1214"/>
  </mergeCells>
  <phoneticPr fontId="0" type="noConversion"/>
  <conditionalFormatting sqref="C102:C161">
    <cfRule type="cellIs" dxfId="27" priority="26" stopIfTrue="1" operator="equal">
      <formula>$J$92</formula>
    </cfRule>
  </conditionalFormatting>
  <conditionalFormatting sqref="C188:C247">
    <cfRule type="cellIs" dxfId="26" priority="1" stopIfTrue="1" operator="equal">
      <formula>$J$92</formula>
    </cfRule>
  </conditionalFormatting>
  <conditionalFormatting sqref="C274:C333">
    <cfRule type="cellIs" dxfId="25" priority="14" stopIfTrue="1" operator="equal">
      <formula>$J$92</formula>
    </cfRule>
  </conditionalFormatting>
  <conditionalFormatting sqref="C360:C419">
    <cfRule type="cellIs" dxfId="24" priority="13" stopIfTrue="1" operator="equal">
      <formula>$J$92</formula>
    </cfRule>
  </conditionalFormatting>
  <conditionalFormatting sqref="C446:C505">
    <cfRule type="cellIs" dxfId="23" priority="12" stopIfTrue="1" operator="equal">
      <formula>$J$92</formula>
    </cfRule>
  </conditionalFormatting>
  <conditionalFormatting sqref="C532:C591">
    <cfRule type="cellIs" dxfId="22" priority="11" stopIfTrue="1" operator="equal">
      <formula>$J$92</formula>
    </cfRule>
  </conditionalFormatting>
  <conditionalFormatting sqref="C618:C677">
    <cfRule type="cellIs" dxfId="21" priority="10" stopIfTrue="1" operator="equal">
      <formula>$J$92</formula>
    </cfRule>
  </conditionalFormatting>
  <conditionalFormatting sqref="C704:C763">
    <cfRule type="cellIs" dxfId="20" priority="9" stopIfTrue="1" operator="equal">
      <formula>$J$92</formula>
    </cfRule>
  </conditionalFormatting>
  <conditionalFormatting sqref="C790:C849">
    <cfRule type="cellIs" dxfId="19" priority="8" stopIfTrue="1" operator="equal">
      <formula>$J$92</formula>
    </cfRule>
  </conditionalFormatting>
  <conditionalFormatting sqref="C876:C935">
    <cfRule type="cellIs" dxfId="18" priority="7" stopIfTrue="1" operator="equal">
      <formula>$J$92</formula>
    </cfRule>
  </conditionalFormatting>
  <conditionalFormatting sqref="C962:C1021">
    <cfRule type="cellIs" dxfId="17" priority="6" stopIfTrue="1" operator="equal">
      <formula>$J$92</formula>
    </cfRule>
  </conditionalFormatting>
  <conditionalFormatting sqref="C1048:C1107">
    <cfRule type="cellIs" dxfId="16" priority="5" stopIfTrue="1" operator="equal">
      <formula>$J$92</formula>
    </cfRule>
  </conditionalFormatting>
  <conditionalFormatting sqref="C1134:C1193">
    <cfRule type="cellIs" dxfId="15" priority="4" stopIfTrue="1" operator="equal">
      <formula>$J$92</formula>
    </cfRule>
  </conditionalFormatting>
  <conditionalFormatting sqref="C1221:C1280">
    <cfRule type="cellIs" dxfId="14" priority="3" stopIfTrue="1" operator="equal">
      <formula>$J$92</formula>
    </cfRule>
  </conditionalFormatting>
  <conditionalFormatting sqref="C1308:C1367">
    <cfRule type="cellIs" dxfId="13" priority="2" stopIfTrue="1" operator="equal">
      <formula>$J$92</formula>
    </cfRule>
  </conditionalFormatting>
  <pageMargins left="0.26" right="1.28" top="1" bottom="0.48" header="0.75" footer="0.5"/>
  <pageSetup scale="43" fitToHeight="2" orientation="landscape" r:id="rId1"/>
  <headerFooter alignWithMargins="0">
    <oddHeader>&amp;R&amp;"Arial,Bold"Formula Rate 
&amp;A
Page &amp;P of &amp;N</oddHeader>
  </headerFooter>
  <rowBreaks count="14" manualBreakCount="14">
    <brk id="81" max="15" man="1"/>
    <brk id="254" max="16383" man="1"/>
    <brk id="340" max="16383" man="1"/>
    <brk id="426" max="16383" man="1"/>
    <brk id="512" max="16383" man="1"/>
    <brk id="598" max="16383" man="1"/>
    <brk id="684" max="16383" man="1"/>
    <brk id="770" max="16383" man="1"/>
    <brk id="856" max="16383" man="1"/>
    <brk id="942" max="16383" man="1"/>
    <brk id="1028" max="16383" man="1"/>
    <brk id="1114" max="16383" man="1"/>
    <brk id="1201" max="16383" man="1"/>
    <brk id="1288"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6">
    <pageSetUpPr autoPageBreaks="0" fitToPage="1"/>
  </sheetPr>
  <dimension ref="A1:AA47"/>
  <sheetViews>
    <sheetView tabSelected="1" zoomScaleNormal="100" zoomScaleSheetLayoutView="100" workbookViewId="0">
      <selection activeCell="F7" sqref="F7"/>
    </sheetView>
  </sheetViews>
  <sheetFormatPr defaultColWidth="9.140625" defaultRowHeight="12.75"/>
  <cols>
    <col min="1" max="1" width="9.140625" style="15"/>
    <col min="2" max="2" width="37.5703125" style="17" customWidth="1"/>
    <col min="3" max="3" width="31.5703125" style="6" customWidth="1"/>
    <col min="4" max="4" width="14.85546875" style="6" customWidth="1"/>
    <col min="5" max="5" width="18" style="6" customWidth="1"/>
    <col min="6" max="7" width="11.140625" style="6" bestFit="1" customWidth="1"/>
    <col min="8" max="8" width="11.140625" style="204" bestFit="1" customWidth="1"/>
    <col min="9" max="16384" width="9.140625" style="6"/>
  </cols>
  <sheetData>
    <row r="1" spans="1:27" ht="15.75">
      <c r="A1" s="665" t="s">
        <v>114</v>
      </c>
    </row>
    <row r="2" spans="1:27" ht="15.75">
      <c r="A2" s="665" t="s">
        <v>114</v>
      </c>
    </row>
    <row r="3" spans="1:27" ht="15">
      <c r="B3" s="1257" t="s">
        <v>387</v>
      </c>
      <c r="C3" s="1257"/>
      <c r="D3" s="1257"/>
      <c r="E3" s="1257"/>
      <c r="F3" s="1257"/>
      <c r="G3" s="28"/>
      <c r="H3" s="200"/>
      <c r="I3" s="28"/>
      <c r="J3" s="28"/>
      <c r="K3" s="28"/>
      <c r="L3" s="28"/>
      <c r="M3" s="28"/>
      <c r="N3" s="28"/>
      <c r="O3" s="28"/>
      <c r="P3" s="28"/>
    </row>
    <row r="4" spans="1:27" ht="15">
      <c r="B4" s="1258" t="str">
        <f>"Cost of Service Formula Rate Using "&amp;TCOS!L4&amp;" FF1 Balances"</f>
        <v>Cost of Service Formula Rate Using 2025 FF1 Balances</v>
      </c>
      <c r="C4" s="1258"/>
      <c r="D4" s="1258"/>
      <c r="E4" s="1258"/>
      <c r="F4" s="1258"/>
      <c r="G4" s="73"/>
      <c r="H4" s="201"/>
      <c r="I4" s="73"/>
      <c r="J4" s="73"/>
      <c r="K4" s="73"/>
      <c r="L4" s="73"/>
      <c r="M4" s="73"/>
      <c r="N4" s="73"/>
      <c r="O4" s="73"/>
      <c r="P4" s="73"/>
    </row>
    <row r="5" spans="1:27" ht="18">
      <c r="B5" s="1257" t="s">
        <v>547</v>
      </c>
      <c r="C5" s="1257"/>
      <c r="D5" s="1257"/>
      <c r="E5" s="1257"/>
      <c r="F5" s="1257"/>
      <c r="G5" s="120"/>
      <c r="H5" s="202"/>
      <c r="I5" s="120"/>
      <c r="J5" s="120"/>
      <c r="K5" s="120"/>
    </row>
    <row r="6" spans="1:27" ht="18">
      <c r="B6" s="1263" t="str">
        <f>+TCOS!F9</f>
        <v>Appalachian Power Company</v>
      </c>
      <c r="C6" s="1257"/>
      <c r="D6" s="1257"/>
      <c r="E6" s="1257"/>
      <c r="F6" s="1257"/>
      <c r="G6" s="125"/>
      <c r="H6" s="203"/>
      <c r="I6" s="125"/>
      <c r="J6" s="125"/>
      <c r="K6" s="125"/>
    </row>
    <row r="8" spans="1:27" ht="18.75" customHeight="1">
      <c r="B8" s="13"/>
      <c r="C8" s="110"/>
      <c r="D8" s="111"/>
    </row>
    <row r="10" spans="1:27" ht="18">
      <c r="B10" s="5"/>
      <c r="C10" s="5"/>
      <c r="D10" s="5"/>
      <c r="E10" s="5"/>
      <c r="F10" s="5"/>
      <c r="R10" s="119"/>
      <c r="S10" s="119"/>
      <c r="T10" s="119"/>
      <c r="U10" s="119"/>
      <c r="V10" s="119"/>
      <c r="W10" s="119"/>
      <c r="X10" s="119"/>
      <c r="Y10" s="119"/>
      <c r="Z10" s="119"/>
      <c r="AA10" s="119"/>
    </row>
    <row r="11" spans="1:27">
      <c r="A11" s="655"/>
      <c r="B11" s="109"/>
      <c r="C11" s="111"/>
    </row>
    <row r="12" spans="1:27">
      <c r="A12" s="186"/>
      <c r="B12" s="9"/>
      <c r="C12" s="9"/>
      <c r="D12" s="9"/>
      <c r="E12" s="9"/>
      <c r="F12" s="9"/>
      <c r="G12" s="8"/>
    </row>
    <row r="13" spans="1:27">
      <c r="A13" s="187"/>
      <c r="B13" s="9"/>
      <c r="C13" s="9"/>
      <c r="D13" s="9"/>
      <c r="E13" s="9"/>
      <c r="F13" s="9"/>
      <c r="G13" s="8"/>
    </row>
    <row r="14" spans="1:27">
      <c r="A14" s="211"/>
      <c r="B14" s="9"/>
      <c r="C14" s="9"/>
      <c r="D14" s="9"/>
      <c r="E14" s="9"/>
      <c r="F14" s="9"/>
      <c r="H14" s="6"/>
    </row>
    <row r="15" spans="1:27">
      <c r="A15" s="211"/>
      <c r="B15" s="9"/>
      <c r="C15" s="9"/>
      <c r="D15" s="9"/>
      <c r="E15" s="9"/>
      <c r="F15" s="9"/>
      <c r="H15" s="6"/>
    </row>
    <row r="16" spans="1:27">
      <c r="A16" s="211"/>
      <c r="B16" s="9"/>
      <c r="C16" s="9"/>
      <c r="D16" s="9"/>
      <c r="E16" s="9"/>
      <c r="F16" s="9"/>
      <c r="H16" s="6"/>
    </row>
    <row r="17" spans="1:8" ht="12.75" customHeight="1">
      <c r="A17" s="211"/>
      <c r="B17" s="9"/>
      <c r="C17" s="9"/>
      <c r="D17" s="9"/>
      <c r="E17" s="9"/>
      <c r="F17" s="9"/>
      <c r="H17" s="6"/>
    </row>
    <row r="18" spans="1:8">
      <c r="A18" s="211"/>
      <c r="B18" s="9"/>
      <c r="C18" s="9"/>
      <c r="D18" s="9"/>
      <c r="E18" s="9"/>
      <c r="F18" s="9"/>
      <c r="H18" s="6"/>
    </row>
    <row r="19" spans="1:8">
      <c r="A19" s="211"/>
      <c r="B19" s="9"/>
      <c r="C19" s="9"/>
      <c r="D19" s="9"/>
      <c r="E19" s="9"/>
      <c r="F19" s="9"/>
      <c r="H19" s="6"/>
    </row>
    <row r="20" spans="1:8">
      <c r="A20" s="211"/>
      <c r="B20" s="9"/>
      <c r="C20" s="9"/>
      <c r="D20" s="9"/>
      <c r="E20" s="9"/>
      <c r="F20" s="9"/>
      <c r="H20" s="6"/>
    </row>
    <row r="21" spans="1:8">
      <c r="A21" s="211"/>
      <c r="B21" s="9"/>
      <c r="C21" s="9"/>
      <c r="D21" s="9"/>
      <c r="E21" s="9"/>
      <c r="F21" s="9"/>
      <c r="H21" s="6"/>
    </row>
    <row r="22" spans="1:8">
      <c r="A22" s="211"/>
      <c r="B22" s="9"/>
      <c r="C22" s="9"/>
      <c r="D22" s="9"/>
      <c r="E22" s="9"/>
      <c r="F22" s="9"/>
      <c r="H22" s="6"/>
    </row>
    <row r="23" spans="1:8" ht="12.75" customHeight="1">
      <c r="A23" s="211"/>
      <c r="B23" s="9"/>
      <c r="C23" s="9"/>
      <c r="D23" s="9"/>
      <c r="E23" s="9"/>
      <c r="F23" s="9"/>
      <c r="H23" s="6"/>
    </row>
    <row r="24" spans="1:8" ht="12.75" customHeight="1">
      <c r="A24" s="211"/>
      <c r="B24" s="9"/>
      <c r="C24" s="9"/>
      <c r="D24" s="9"/>
      <c r="E24" s="9"/>
      <c r="F24" s="9"/>
      <c r="H24" s="6"/>
    </row>
    <row r="25" spans="1:8" ht="12.75" customHeight="1">
      <c r="A25" s="211"/>
      <c r="B25" s="9"/>
      <c r="C25" s="9"/>
      <c r="D25" s="9"/>
      <c r="E25" s="9"/>
      <c r="F25" s="9"/>
      <c r="H25" s="6"/>
    </row>
    <row r="26" spans="1:8" ht="12.75" customHeight="1">
      <c r="A26" s="211"/>
      <c r="B26" s="9"/>
      <c r="C26" s="9"/>
      <c r="D26" s="9"/>
      <c r="E26" s="9"/>
      <c r="F26" s="9"/>
      <c r="H26" s="6"/>
    </row>
    <row r="27" spans="1:8" ht="12.75" customHeight="1">
      <c r="A27" s="211"/>
      <c r="B27" s="9"/>
      <c r="C27" s="9"/>
      <c r="D27" s="9"/>
      <c r="E27" s="9"/>
      <c r="F27" s="9"/>
      <c r="H27" s="6"/>
    </row>
    <row r="28" spans="1:8" ht="12.75" customHeight="1">
      <c r="A28" s="211"/>
      <c r="B28" s="9"/>
      <c r="C28" s="9"/>
      <c r="D28" s="9"/>
      <c r="E28" s="9"/>
      <c r="F28" s="9"/>
      <c r="H28" s="6"/>
    </row>
    <row r="29" spans="1:8" ht="12.75" customHeight="1">
      <c r="A29" s="211"/>
      <c r="B29" s="9"/>
      <c r="C29" s="9"/>
      <c r="D29" s="9"/>
      <c r="E29" s="9"/>
      <c r="F29" s="9"/>
      <c r="H29" s="6"/>
    </row>
    <row r="30" spans="1:8" ht="12.75" customHeight="1">
      <c r="A30" s="211"/>
      <c r="B30" s="9"/>
      <c r="C30" s="9"/>
      <c r="D30" s="9"/>
      <c r="E30" s="9"/>
      <c r="F30" s="9"/>
      <c r="H30" s="6"/>
    </row>
    <row r="31" spans="1:8" ht="12.75" customHeight="1">
      <c r="A31" s="211"/>
      <c r="B31" s="9"/>
      <c r="C31" s="9"/>
      <c r="D31" s="9"/>
      <c r="E31" s="9"/>
      <c r="F31" s="9"/>
      <c r="H31" s="6"/>
    </row>
    <row r="32" spans="1:8" ht="12.75" customHeight="1">
      <c r="A32" s="211"/>
      <c r="B32" s="9"/>
      <c r="C32" s="9"/>
      <c r="D32" s="9"/>
      <c r="E32" s="9"/>
      <c r="F32" s="9"/>
      <c r="H32" s="6"/>
    </row>
    <row r="33" spans="1:8" ht="12.75" customHeight="1">
      <c r="A33" s="211"/>
      <c r="B33" s="9"/>
      <c r="C33" s="9"/>
      <c r="D33" s="9"/>
      <c r="E33" s="9"/>
      <c r="F33" s="9"/>
      <c r="H33" s="6"/>
    </row>
    <row r="34" spans="1:8" ht="12.75" customHeight="1">
      <c r="A34" s="211"/>
      <c r="B34" s="9"/>
      <c r="C34" s="9"/>
      <c r="D34" s="9"/>
      <c r="E34" s="9"/>
      <c r="F34" s="9"/>
      <c r="H34" s="6"/>
    </row>
    <row r="35" spans="1:8" ht="12.75" customHeight="1">
      <c r="A35" s="211"/>
      <c r="B35" s="9"/>
      <c r="C35" s="9"/>
      <c r="D35" s="9"/>
      <c r="E35" s="9"/>
      <c r="F35" s="9"/>
      <c r="H35" s="6"/>
    </row>
    <row r="36" spans="1:8" ht="12.75" customHeight="1">
      <c r="A36" s="211"/>
      <c r="B36" s="9"/>
      <c r="C36" s="9"/>
      <c r="D36" s="9"/>
      <c r="E36" s="9"/>
      <c r="F36" s="9"/>
      <c r="H36" s="6"/>
    </row>
    <row r="37" spans="1:8" ht="12.75" customHeight="1">
      <c r="A37" s="211"/>
      <c r="B37" s="9"/>
      <c r="C37" s="9"/>
      <c r="D37" s="9"/>
      <c r="E37" s="9"/>
      <c r="F37" s="9"/>
      <c r="H37" s="6"/>
    </row>
    <row r="38" spans="1:8" ht="12.75" customHeight="1">
      <c r="A38" s="211"/>
      <c r="B38" s="9"/>
      <c r="C38" s="9"/>
      <c r="D38" s="9"/>
      <c r="E38" s="9"/>
      <c r="F38" s="9"/>
      <c r="H38" s="6"/>
    </row>
    <row r="39" spans="1:8" ht="12.75" customHeight="1">
      <c r="A39" s="211"/>
      <c r="B39" s="9"/>
      <c r="C39" s="9"/>
      <c r="D39" s="9"/>
      <c r="E39" s="9"/>
      <c r="F39" s="9"/>
      <c r="H39" s="6"/>
    </row>
    <row r="40" spans="1:8" ht="12.75" customHeight="1">
      <c r="A40" s="211"/>
      <c r="B40" s="9"/>
      <c r="C40" s="9"/>
      <c r="D40" s="9"/>
      <c r="E40" s="9"/>
      <c r="F40" s="9"/>
      <c r="H40" s="6"/>
    </row>
    <row r="41" spans="1:8" ht="12.75" customHeight="1">
      <c r="A41" s="211"/>
      <c r="B41" s="9"/>
      <c r="C41" s="9"/>
      <c r="D41" s="9"/>
      <c r="E41" s="9"/>
      <c r="F41" s="9"/>
      <c r="H41" s="6"/>
    </row>
    <row r="42" spans="1:8" ht="12.75" customHeight="1">
      <c r="A42" s="211"/>
      <c r="B42" s="9"/>
      <c r="C42" s="9"/>
      <c r="D42" s="9"/>
      <c r="E42" s="9"/>
      <c r="F42" s="9"/>
      <c r="H42" s="6"/>
    </row>
    <row r="43" spans="1:8" ht="12.6" customHeight="1">
      <c r="A43" s="211"/>
      <c r="B43" s="9"/>
      <c r="C43" s="9"/>
      <c r="D43" s="9"/>
      <c r="E43" s="9"/>
      <c r="F43" s="9"/>
      <c r="H43" s="6"/>
    </row>
    <row r="44" spans="1:8" ht="12.75" customHeight="1">
      <c r="A44" s="211"/>
      <c r="B44" s="9"/>
      <c r="C44" s="9"/>
      <c r="D44" s="9"/>
      <c r="E44" s="9"/>
      <c r="F44" s="9"/>
      <c r="H44" s="6"/>
    </row>
    <row r="45" spans="1:8">
      <c r="B45" s="9"/>
      <c r="C45" s="9"/>
      <c r="D45" s="9"/>
      <c r="E45" s="9"/>
      <c r="F45" s="9"/>
      <c r="H45" s="6"/>
    </row>
    <row r="46" spans="1:8">
      <c r="B46" s="9"/>
      <c r="C46" s="9"/>
      <c r="D46" s="9"/>
      <c r="E46" s="9"/>
      <c r="F46" s="9"/>
      <c r="H46" s="6"/>
    </row>
    <row r="47" spans="1:8">
      <c r="B47" s="9"/>
      <c r="C47" s="9"/>
      <c r="D47" s="9"/>
      <c r="E47" s="9"/>
      <c r="F47" s="9"/>
      <c r="H47" s="6"/>
    </row>
  </sheetData>
  <mergeCells count="4">
    <mergeCell ref="B6:F6"/>
    <mergeCell ref="B3:F3"/>
    <mergeCell ref="B4:F4"/>
    <mergeCell ref="B5:F5"/>
  </mergeCells>
  <phoneticPr fontId="0" type="noConversion"/>
  <pageMargins left="0.61" right="0.72" top="1" bottom="1" header="0.75" footer="0.5"/>
  <pageSetup orientation="portrait" r:id="rId1"/>
  <headerFooter alignWithMargins="0">
    <oddHeader>&amp;R&amp;"Arial,Bold"Formula Rate 
&amp;A
Page &amp;P of &amp;N</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autoPageBreaks="0" fitToPage="1"/>
  </sheetPr>
  <dimension ref="A1:M96"/>
  <sheetViews>
    <sheetView tabSelected="1" topLeftCell="A32" zoomScale="85" zoomScaleNormal="85" zoomScaleSheetLayoutView="70" zoomScalePageLayoutView="50" workbookViewId="0">
      <selection activeCell="F7" sqref="F7"/>
    </sheetView>
  </sheetViews>
  <sheetFormatPr defaultColWidth="11.42578125" defaultRowHeight="12.75"/>
  <cols>
    <col min="1" max="1" width="10.42578125" style="669" customWidth="1"/>
    <col min="2" max="2" width="64.5703125" style="4" customWidth="1"/>
    <col min="3" max="3" width="26.5703125" style="4" bestFit="1" customWidth="1"/>
    <col min="4" max="11" width="20.42578125" style="4" customWidth="1"/>
    <col min="12" max="12" width="20" style="4" customWidth="1"/>
    <col min="13" max="14" width="15.140625" style="4" customWidth="1"/>
    <col min="15" max="16384" width="11.42578125" style="4"/>
  </cols>
  <sheetData>
    <row r="1" spans="1:13" ht="15">
      <c r="A1" s="1257" t="s">
        <v>387</v>
      </c>
      <c r="B1" s="1257"/>
      <c r="C1" s="1257"/>
      <c r="D1" s="1257"/>
      <c r="E1" s="1257"/>
      <c r="F1" s="1257"/>
      <c r="G1" s="1257"/>
      <c r="H1" s="78"/>
      <c r="I1" s="78"/>
    </row>
    <row r="2" spans="1:13" ht="15">
      <c r="A2" s="1258" t="str">
        <f>"Cost of Service Formula Rate Using Actual/Projected FF1 Balances"</f>
        <v>Cost of Service Formula Rate Using Actual/Projected FF1 Balances</v>
      </c>
      <c r="B2" s="1258"/>
      <c r="C2" s="1258"/>
      <c r="D2" s="1258"/>
      <c r="E2" s="1258"/>
      <c r="F2" s="1258"/>
      <c r="G2" s="1258"/>
      <c r="H2" s="78"/>
      <c r="I2" s="78"/>
      <c r="J2" s="78"/>
      <c r="L2" s="536"/>
    </row>
    <row r="3" spans="1:13" ht="15">
      <c r="A3" s="1258" t="s">
        <v>658</v>
      </c>
      <c r="B3" s="1258"/>
      <c r="C3" s="1258"/>
      <c r="D3" s="1258"/>
      <c r="E3" s="1258"/>
      <c r="F3" s="1258"/>
      <c r="G3" s="1258"/>
      <c r="H3" s="78"/>
      <c r="I3" s="78"/>
      <c r="J3" s="78"/>
    </row>
    <row r="4" spans="1:13" ht="15">
      <c r="A4" s="1259" t="str">
        <f>TCOS!F9</f>
        <v>Appalachian Power Company</v>
      </c>
      <c r="B4" s="1259"/>
      <c r="C4" s="1259"/>
      <c r="D4" s="1259"/>
      <c r="E4" s="1259"/>
      <c r="F4" s="1259"/>
      <c r="G4" s="1259"/>
      <c r="H4" s="78"/>
      <c r="I4" s="78"/>
      <c r="J4" s="78"/>
    </row>
    <row r="5" spans="1:13">
      <c r="A5" s="78"/>
      <c r="B5" s="702"/>
      <c r="C5" s="702"/>
      <c r="D5" s="702"/>
      <c r="E5" s="704"/>
      <c r="F5" s="681"/>
      <c r="H5" s="681"/>
      <c r="J5" s="681"/>
      <c r="L5" s="681"/>
    </row>
    <row r="6" spans="1:13" ht="12.75" customHeight="1">
      <c r="A6" s="78"/>
      <c r="B6" s="702"/>
      <c r="C6" s="1254" t="s">
        <v>657</v>
      </c>
      <c r="D6" s="1255"/>
      <c r="E6" s="1255"/>
      <c r="F6" s="1255"/>
      <c r="G6" s="1255"/>
      <c r="H6" s="1255"/>
      <c r="I6" s="1255"/>
      <c r="J6" s="1255"/>
      <c r="K6" s="1255"/>
      <c r="L6" s="1255"/>
      <c r="M6" s="1256"/>
    </row>
    <row r="7" spans="1:13" s="485" customFormat="1" ht="25.5">
      <c r="A7" s="701" t="s">
        <v>647</v>
      </c>
      <c r="B7" s="700" t="s">
        <v>646</v>
      </c>
      <c r="C7" s="685" t="s">
        <v>229</v>
      </c>
      <c r="D7" s="685" t="s">
        <v>655</v>
      </c>
      <c r="E7" s="685" t="s">
        <v>115</v>
      </c>
      <c r="F7" s="685" t="s">
        <v>654</v>
      </c>
      <c r="G7" s="685" t="s">
        <v>438</v>
      </c>
      <c r="H7" s="685" t="s">
        <v>653</v>
      </c>
      <c r="I7" s="685" t="s">
        <v>334</v>
      </c>
      <c r="J7" s="685" t="s">
        <v>652</v>
      </c>
      <c r="K7" s="1194" t="s">
        <v>651</v>
      </c>
      <c r="L7" s="685" t="s">
        <v>1427</v>
      </c>
      <c r="M7" s="684" t="s">
        <v>1428</v>
      </c>
    </row>
    <row r="8" spans="1:13" s="678" customFormat="1">
      <c r="A8" s="677"/>
      <c r="B8" s="682" t="s">
        <v>641</v>
      </c>
      <c r="C8" s="681" t="s">
        <v>640</v>
      </c>
      <c r="D8" s="681" t="s">
        <v>639</v>
      </c>
      <c r="E8" s="681" t="s">
        <v>638</v>
      </c>
      <c r="F8" s="681" t="s">
        <v>637</v>
      </c>
      <c r="G8" s="681" t="s">
        <v>659</v>
      </c>
      <c r="H8" s="681" t="s">
        <v>660</v>
      </c>
      <c r="I8" s="681" t="s">
        <v>650</v>
      </c>
      <c r="J8" s="681" t="s">
        <v>649</v>
      </c>
      <c r="K8" s="1195" t="s">
        <v>648</v>
      </c>
      <c r="L8" s="681" t="s">
        <v>1429</v>
      </c>
      <c r="M8" s="682" t="s">
        <v>1430</v>
      </c>
    </row>
    <row r="9" spans="1:13" s="678" customFormat="1" ht="44.25" customHeight="1">
      <c r="A9" s="677"/>
      <c r="B9" s="682" t="s">
        <v>636</v>
      </c>
      <c r="C9" s="699" t="s">
        <v>442</v>
      </c>
      <c r="D9" s="699" t="s">
        <v>447</v>
      </c>
      <c r="E9" s="699" t="s">
        <v>443</v>
      </c>
      <c r="F9" s="699" t="s">
        <v>661</v>
      </c>
      <c r="G9" s="699" t="s">
        <v>444</v>
      </c>
      <c r="H9" s="699" t="s">
        <v>445</v>
      </c>
      <c r="I9" s="699" t="s">
        <v>662</v>
      </c>
      <c r="J9" s="699" t="s">
        <v>663</v>
      </c>
      <c r="K9" s="699" t="s">
        <v>446</v>
      </c>
      <c r="L9" s="1190" t="s">
        <v>1431</v>
      </c>
      <c r="M9" s="1191" t="s">
        <v>1432</v>
      </c>
    </row>
    <row r="10" spans="1:13">
      <c r="A10" s="677">
        <v>1</v>
      </c>
      <c r="B10" s="698" t="s">
        <v>634</v>
      </c>
      <c r="C10" s="675">
        <v>7230606384.5300007</v>
      </c>
      <c r="D10" s="675">
        <v>255873233.97999999</v>
      </c>
      <c r="E10" s="675">
        <v>4999904253.2199993</v>
      </c>
      <c r="F10" s="675">
        <v>0</v>
      </c>
      <c r="G10" s="675">
        <v>5567112343.9800005</v>
      </c>
      <c r="H10" s="675">
        <v>3068.56</v>
      </c>
      <c r="I10" s="675">
        <v>724663341.92999995</v>
      </c>
      <c r="J10" s="675">
        <v>1429940.67</v>
      </c>
      <c r="K10" s="675">
        <v>296333200.23999995</v>
      </c>
      <c r="L10" s="675">
        <v>0</v>
      </c>
      <c r="M10" s="1230">
        <v>0</v>
      </c>
    </row>
    <row r="11" spans="1:13">
      <c r="A11" s="677">
        <f>+A10+1</f>
        <v>2</v>
      </c>
      <c r="B11" s="698" t="s">
        <v>185</v>
      </c>
      <c r="C11" s="675">
        <v>7232646856.1099997</v>
      </c>
      <c r="D11" s="675">
        <v>255873233.97999999</v>
      </c>
      <c r="E11" s="675">
        <v>5006919249.8000002</v>
      </c>
      <c r="F11" s="675">
        <v>0</v>
      </c>
      <c r="G11" s="675">
        <v>5687213928.6400003</v>
      </c>
      <c r="H11" s="675">
        <v>3068.56</v>
      </c>
      <c r="I11" s="675">
        <v>931586741.88999999</v>
      </c>
      <c r="J11" s="675">
        <v>1429940.67</v>
      </c>
      <c r="K11" s="675">
        <v>18299132.339999974</v>
      </c>
      <c r="L11" s="675">
        <v>5726248.7999999998</v>
      </c>
      <c r="M11" s="1231">
        <v>0</v>
      </c>
    </row>
    <row r="12" spans="1:13">
      <c r="A12" s="677">
        <f t="shared" ref="A12:A23" si="0">+A11+1</f>
        <v>3</v>
      </c>
      <c r="B12" s="697" t="s">
        <v>559</v>
      </c>
      <c r="C12" s="675">
        <v>7242139952.2200003</v>
      </c>
      <c r="D12" s="675">
        <v>255873233.97999999</v>
      </c>
      <c r="E12" s="675">
        <v>5018040406.3399992</v>
      </c>
      <c r="F12" s="675">
        <v>0</v>
      </c>
      <c r="G12" s="675">
        <v>5697802645.0900021</v>
      </c>
      <c r="H12" s="675">
        <v>3068.56</v>
      </c>
      <c r="I12" s="675">
        <v>936423999.71999991</v>
      </c>
      <c r="J12" s="675">
        <v>1429940.67</v>
      </c>
      <c r="K12" s="675">
        <v>18299132.34</v>
      </c>
      <c r="L12" s="675">
        <v>5726248.7999999998</v>
      </c>
      <c r="M12" s="1231">
        <v>0</v>
      </c>
    </row>
    <row r="13" spans="1:13">
      <c r="A13" s="677">
        <f t="shared" si="0"/>
        <v>4</v>
      </c>
      <c r="B13" s="697" t="s">
        <v>633</v>
      </c>
      <c r="C13" s="675">
        <v>7244732127.9200001</v>
      </c>
      <c r="D13" s="675">
        <v>255873233.97999999</v>
      </c>
      <c r="E13" s="675">
        <v>5035387431.5100002</v>
      </c>
      <c r="F13" s="675">
        <v>0</v>
      </c>
      <c r="G13" s="675">
        <v>5755337137.3199997</v>
      </c>
      <c r="H13" s="675">
        <v>3068.56</v>
      </c>
      <c r="I13" s="675">
        <v>927265656.43999982</v>
      </c>
      <c r="J13" s="675">
        <v>1429940.67</v>
      </c>
      <c r="K13" s="675">
        <v>18299132.34</v>
      </c>
      <c r="L13" s="675">
        <v>5726248.7999999998</v>
      </c>
      <c r="M13" s="1231">
        <v>0</v>
      </c>
    </row>
    <row r="14" spans="1:13">
      <c r="A14" s="677">
        <f t="shared" si="0"/>
        <v>5</v>
      </c>
      <c r="B14" s="697" t="s">
        <v>187</v>
      </c>
      <c r="C14" s="675">
        <v>7254617073.6400013</v>
      </c>
      <c r="D14" s="675">
        <v>255873233.97999999</v>
      </c>
      <c r="E14" s="675">
        <v>5046536135.8999996</v>
      </c>
      <c r="F14" s="675">
        <v>0</v>
      </c>
      <c r="G14" s="675">
        <v>5782967976.0700026</v>
      </c>
      <c r="H14" s="675">
        <v>3068.56</v>
      </c>
      <c r="I14" s="675">
        <v>927833752.93999994</v>
      </c>
      <c r="J14" s="675">
        <v>1429940.67</v>
      </c>
      <c r="K14" s="675">
        <v>18299132.34</v>
      </c>
      <c r="L14" s="675">
        <v>5726248.7999999998</v>
      </c>
      <c r="M14" s="1231">
        <v>0</v>
      </c>
    </row>
    <row r="15" spans="1:13">
      <c r="A15" s="677">
        <f t="shared" si="0"/>
        <v>6</v>
      </c>
      <c r="B15" s="697" t="s">
        <v>188</v>
      </c>
      <c r="C15" s="675">
        <v>7257656631.6900005</v>
      </c>
      <c r="D15" s="675">
        <v>255873233.97999999</v>
      </c>
      <c r="E15" s="675">
        <v>5085169729.2100019</v>
      </c>
      <c r="F15" s="675">
        <v>0</v>
      </c>
      <c r="G15" s="675">
        <v>5822888133.4400005</v>
      </c>
      <c r="H15" s="675">
        <v>3068.56</v>
      </c>
      <c r="I15" s="675">
        <v>930543292.49000001</v>
      </c>
      <c r="J15" s="675">
        <v>1429940.67</v>
      </c>
      <c r="K15" s="675">
        <v>20502079.75</v>
      </c>
      <c r="L15" s="675">
        <v>5726248.7999999998</v>
      </c>
      <c r="M15" s="1231">
        <v>0</v>
      </c>
    </row>
    <row r="16" spans="1:13">
      <c r="A16" s="677">
        <f t="shared" si="0"/>
        <v>7</v>
      </c>
      <c r="B16" s="697" t="s">
        <v>382</v>
      </c>
      <c r="C16" s="675">
        <v>7267061671.7699986</v>
      </c>
      <c r="D16" s="675">
        <v>255873233.97999999</v>
      </c>
      <c r="E16" s="675">
        <v>5116200959.1300001</v>
      </c>
      <c r="F16" s="675">
        <v>0</v>
      </c>
      <c r="G16" s="675">
        <v>5849259967.920002</v>
      </c>
      <c r="H16" s="675">
        <v>3068.56</v>
      </c>
      <c r="I16" s="675">
        <v>923238320.03999996</v>
      </c>
      <c r="J16" s="675">
        <v>1429940.67</v>
      </c>
      <c r="K16" s="675">
        <v>20502079.75</v>
      </c>
      <c r="L16" s="675">
        <v>5726248.7999999998</v>
      </c>
      <c r="M16" s="1231">
        <v>0</v>
      </c>
    </row>
    <row r="17" spans="1:13">
      <c r="A17" s="677">
        <f t="shared" si="0"/>
        <v>8</v>
      </c>
      <c r="B17" s="697" t="s">
        <v>189</v>
      </c>
      <c r="C17" s="675">
        <v>7284533656.5199986</v>
      </c>
      <c r="D17" s="675">
        <v>255873233.97999999</v>
      </c>
      <c r="E17" s="675">
        <v>5126267428.6400003</v>
      </c>
      <c r="F17" s="675">
        <v>0</v>
      </c>
      <c r="G17" s="675">
        <v>5870906299.670001</v>
      </c>
      <c r="H17" s="675">
        <v>3068.56</v>
      </c>
      <c r="I17" s="675">
        <v>924792497.91999996</v>
      </c>
      <c r="J17" s="675">
        <v>1429940.67</v>
      </c>
      <c r="K17" s="675">
        <v>20502079.75</v>
      </c>
      <c r="L17" s="675">
        <v>5726248.7999999998</v>
      </c>
      <c r="M17" s="1231">
        <v>0</v>
      </c>
    </row>
    <row r="18" spans="1:13">
      <c r="A18" s="677">
        <f t="shared" si="0"/>
        <v>9</v>
      </c>
      <c r="B18" s="697" t="s">
        <v>632</v>
      </c>
      <c r="C18" s="675">
        <v>7290222178.2800007</v>
      </c>
      <c r="D18" s="675">
        <v>255873233.97999999</v>
      </c>
      <c r="E18" s="675">
        <v>5152163893.0700006</v>
      </c>
      <c r="F18" s="675">
        <v>0</v>
      </c>
      <c r="G18" s="675">
        <v>5893610042.9300013</v>
      </c>
      <c r="H18" s="675">
        <v>3068.56</v>
      </c>
      <c r="I18" s="675">
        <v>919010089.30999982</v>
      </c>
      <c r="J18" s="675">
        <v>1429940.67</v>
      </c>
      <c r="K18" s="675">
        <v>20502079.75</v>
      </c>
      <c r="L18" s="675">
        <v>5726248.7999999998</v>
      </c>
      <c r="M18" s="1231">
        <v>0</v>
      </c>
    </row>
    <row r="19" spans="1:13">
      <c r="A19" s="677">
        <f t="shared" si="0"/>
        <v>10</v>
      </c>
      <c r="B19" s="697" t="s">
        <v>192</v>
      </c>
      <c r="C19" s="675">
        <v>7292268861.9000006</v>
      </c>
      <c r="D19" s="675">
        <v>255873233.97999999</v>
      </c>
      <c r="E19" s="675">
        <v>5164072091.9500008</v>
      </c>
      <c r="F19" s="675">
        <v>0</v>
      </c>
      <c r="G19" s="675">
        <v>5919521124.1600027</v>
      </c>
      <c r="H19" s="675">
        <v>3068.56</v>
      </c>
      <c r="I19" s="675">
        <v>898851835.61000001</v>
      </c>
      <c r="J19" s="675">
        <v>1429940.67</v>
      </c>
      <c r="K19" s="675">
        <v>20502079.75</v>
      </c>
      <c r="L19" s="675">
        <v>5726248.7999999998</v>
      </c>
      <c r="M19" s="1231">
        <v>0</v>
      </c>
    </row>
    <row r="20" spans="1:13">
      <c r="A20" s="677">
        <f t="shared" si="0"/>
        <v>11</v>
      </c>
      <c r="B20" s="697" t="s">
        <v>560</v>
      </c>
      <c r="C20" s="675">
        <v>7294739824.8799982</v>
      </c>
      <c r="D20" s="675">
        <v>255873233.97999999</v>
      </c>
      <c r="E20" s="675">
        <v>5210999038.9500008</v>
      </c>
      <c r="F20" s="675">
        <v>0</v>
      </c>
      <c r="G20" s="675">
        <v>5964820923.1400003</v>
      </c>
      <c r="H20" s="675">
        <v>3068.56</v>
      </c>
      <c r="I20" s="675">
        <v>900032314.92999947</v>
      </c>
      <c r="J20" s="675">
        <v>1429940.67</v>
      </c>
      <c r="K20" s="675">
        <v>20502079.75</v>
      </c>
      <c r="L20" s="675">
        <v>5726248.7999999998</v>
      </c>
      <c r="M20" s="1231">
        <v>0</v>
      </c>
    </row>
    <row r="21" spans="1:13">
      <c r="A21" s="677">
        <f t="shared" si="0"/>
        <v>12</v>
      </c>
      <c r="B21" s="697" t="s">
        <v>561</v>
      </c>
      <c r="C21" s="675">
        <v>7858486806.4900007</v>
      </c>
      <c r="D21" s="675">
        <v>261481811.09</v>
      </c>
      <c r="E21" s="675">
        <v>5244585075.1400013</v>
      </c>
      <c r="F21" s="675">
        <v>0</v>
      </c>
      <c r="G21" s="675">
        <v>6000148932.2000008</v>
      </c>
      <c r="H21" s="675">
        <v>3068.56</v>
      </c>
      <c r="I21" s="675">
        <v>931683098.50000012</v>
      </c>
      <c r="J21" s="675">
        <v>1429940.67</v>
      </c>
      <c r="K21" s="675">
        <v>20502079.75</v>
      </c>
      <c r="L21" s="675">
        <v>5726248.7999999998</v>
      </c>
      <c r="M21" s="1231">
        <v>0</v>
      </c>
    </row>
    <row r="22" spans="1:13">
      <c r="A22" s="676">
        <f t="shared" si="0"/>
        <v>13</v>
      </c>
      <c r="B22" s="696" t="s">
        <v>631</v>
      </c>
      <c r="C22" s="675">
        <v>7866754093.7599983</v>
      </c>
      <c r="D22" s="675">
        <v>264412984.06</v>
      </c>
      <c r="E22" s="675">
        <v>5305282165.3199997</v>
      </c>
      <c r="F22" s="675">
        <v>0</v>
      </c>
      <c r="G22" s="675">
        <v>6053040513.670001</v>
      </c>
      <c r="H22" s="675">
        <v>3068.56</v>
      </c>
      <c r="I22" s="675">
        <v>933220714.19999981</v>
      </c>
      <c r="J22" s="675">
        <v>1429940.67</v>
      </c>
      <c r="K22" s="675">
        <v>20502079.75</v>
      </c>
      <c r="L22" s="675">
        <v>5726248.7999999998</v>
      </c>
      <c r="M22" s="1231">
        <v>0</v>
      </c>
    </row>
    <row r="23" spans="1:13" ht="13.5" thickBot="1">
      <c r="A23" s="877">
        <f t="shared" si="0"/>
        <v>14</v>
      </c>
      <c r="B23" s="878" t="s">
        <v>857</v>
      </c>
      <c r="C23" s="693">
        <f>SUM(C10:C22)/13</f>
        <v>7355112778.43923</v>
      </c>
      <c r="D23" s="693">
        <f>SUM(D10:D22)/13</f>
        <v>256961566.84076923</v>
      </c>
      <c r="E23" s="693">
        <f t="shared" ref="E23:M23" si="1">SUM(E10:E22)/13</f>
        <v>5116271373.7061539</v>
      </c>
      <c r="F23" s="693">
        <f t="shared" si="1"/>
        <v>0</v>
      </c>
      <c r="G23" s="693">
        <f t="shared" si="1"/>
        <v>5835740766.7869244</v>
      </c>
      <c r="H23" s="693">
        <f t="shared" si="1"/>
        <v>3068.56</v>
      </c>
      <c r="I23" s="693">
        <f t="shared" si="1"/>
        <v>908395819.68615365</v>
      </c>
      <c r="J23" s="693">
        <f t="shared" si="1"/>
        <v>1429940.6700000002</v>
      </c>
      <c r="K23" s="1197">
        <f t="shared" si="1"/>
        <v>41042028.276923068</v>
      </c>
      <c r="L23" s="1192">
        <f t="shared" si="1"/>
        <v>5285768.1230769213</v>
      </c>
      <c r="M23" s="1193">
        <f t="shared" si="1"/>
        <v>0</v>
      </c>
    </row>
    <row r="24" spans="1:13" ht="13.5" thickTop="1">
      <c r="A24" s="78"/>
      <c r="B24" s="671"/>
      <c r="C24" s="692"/>
      <c r="D24" s="670"/>
      <c r="E24" s="670"/>
      <c r="F24" s="670"/>
      <c r="G24" s="692"/>
      <c r="H24" s="692"/>
      <c r="I24" s="692"/>
      <c r="J24" s="703"/>
      <c r="K24" s="703"/>
    </row>
    <row r="25" spans="1:13" ht="12.75" customHeight="1">
      <c r="A25" s="78"/>
      <c r="B25" s="702"/>
      <c r="C25" s="1254" t="s">
        <v>656</v>
      </c>
      <c r="D25" s="1255"/>
      <c r="E25" s="1255"/>
      <c r="F25" s="1255"/>
      <c r="G25" s="1255"/>
      <c r="H25" s="1255"/>
      <c r="I25" s="1255"/>
      <c r="J25" s="1255"/>
      <c r="K25" s="1255"/>
      <c r="L25" s="1255"/>
      <c r="M25" s="1256"/>
    </row>
    <row r="26" spans="1:13" s="485" customFormat="1" ht="25.5">
      <c r="A26" s="701" t="s">
        <v>647</v>
      </c>
      <c r="B26" s="700" t="s">
        <v>646</v>
      </c>
      <c r="C26" s="686" t="s">
        <v>229</v>
      </c>
      <c r="D26" s="685" t="s">
        <v>655</v>
      </c>
      <c r="E26" s="685" t="s">
        <v>115</v>
      </c>
      <c r="F26" s="685" t="s">
        <v>654</v>
      </c>
      <c r="G26" s="685" t="s">
        <v>438</v>
      </c>
      <c r="H26" s="685" t="s">
        <v>653</v>
      </c>
      <c r="I26" s="685" t="s">
        <v>334</v>
      </c>
      <c r="J26" s="685" t="s">
        <v>652</v>
      </c>
      <c r="K26" s="685" t="s">
        <v>651</v>
      </c>
      <c r="L26" s="685" t="s">
        <v>1427</v>
      </c>
      <c r="M26" s="684" t="s">
        <v>1428</v>
      </c>
    </row>
    <row r="27" spans="1:13" s="678" customFormat="1">
      <c r="A27" s="677"/>
      <c r="B27" s="682" t="s">
        <v>641</v>
      </c>
      <c r="C27" s="681" t="s">
        <v>640</v>
      </c>
      <c r="D27" s="681" t="s">
        <v>639</v>
      </c>
      <c r="E27" s="681" t="s">
        <v>638</v>
      </c>
      <c r="F27" s="681" t="s">
        <v>637</v>
      </c>
      <c r="G27" s="681" t="s">
        <v>659</v>
      </c>
      <c r="H27" s="681" t="s">
        <v>660</v>
      </c>
      <c r="I27" s="681" t="s">
        <v>650</v>
      </c>
      <c r="J27" s="681" t="s">
        <v>649</v>
      </c>
      <c r="K27" s="1195" t="s">
        <v>648</v>
      </c>
      <c r="L27" s="681" t="s">
        <v>1429</v>
      </c>
      <c r="M27" s="682" t="s">
        <v>1430</v>
      </c>
    </row>
    <row r="28" spans="1:13" s="678" customFormat="1" ht="44.25" customHeight="1">
      <c r="A28" s="677"/>
      <c r="B28" s="682" t="s">
        <v>636</v>
      </c>
      <c r="C28" s="699" t="s">
        <v>379</v>
      </c>
      <c r="D28" s="699" t="s">
        <v>664</v>
      </c>
      <c r="E28" s="699" t="s">
        <v>380</v>
      </c>
      <c r="F28" s="699" t="s">
        <v>665</v>
      </c>
      <c r="G28" s="699" t="s">
        <v>507</v>
      </c>
      <c r="H28" s="699" t="s">
        <v>666</v>
      </c>
      <c r="I28" s="699" t="s">
        <v>481</v>
      </c>
      <c r="J28" s="699" t="s">
        <v>667</v>
      </c>
      <c r="K28" s="699" t="s">
        <v>508</v>
      </c>
      <c r="L28" s="1190" t="s">
        <v>1433</v>
      </c>
      <c r="M28" s="1191" t="s">
        <v>666</v>
      </c>
    </row>
    <row r="29" spans="1:13">
      <c r="A29" s="677">
        <f>+A23+1</f>
        <v>15</v>
      </c>
      <c r="B29" s="698" t="s">
        <v>634</v>
      </c>
      <c r="C29" s="675">
        <v>3632128782.8200006</v>
      </c>
      <c r="D29" s="675">
        <v>66771200.930000015</v>
      </c>
      <c r="E29" s="675">
        <v>980393231.11999989</v>
      </c>
      <c r="F29" s="675">
        <v>0</v>
      </c>
      <c r="G29" s="675">
        <v>1913650351.9200006</v>
      </c>
      <c r="H29" s="675">
        <v>2341.4900000000002</v>
      </c>
      <c r="I29" s="675">
        <v>138216762.94999996</v>
      </c>
      <c r="J29" s="675">
        <v>898456.65999999992</v>
      </c>
      <c r="K29" s="675">
        <v>170572133.52000004</v>
      </c>
      <c r="L29" s="675">
        <v>0</v>
      </c>
      <c r="M29" s="1230">
        <v>0</v>
      </c>
    </row>
    <row r="30" spans="1:13">
      <c r="A30" s="677">
        <f>+A29+1</f>
        <v>16</v>
      </c>
      <c r="B30" s="698" t="s">
        <v>185</v>
      </c>
      <c r="C30" s="675">
        <v>3647177497.0400004</v>
      </c>
      <c r="D30" s="675">
        <v>68092651.450000003</v>
      </c>
      <c r="E30" s="675">
        <v>989759266.8599999</v>
      </c>
      <c r="F30" s="675">
        <v>0</v>
      </c>
      <c r="G30" s="675">
        <v>1924684422.5200005</v>
      </c>
      <c r="H30" s="675">
        <v>2347.21</v>
      </c>
      <c r="I30" s="675">
        <v>285969554.05000013</v>
      </c>
      <c r="J30" s="675">
        <v>902051.87</v>
      </c>
      <c r="K30" s="675">
        <v>28600265.060000002</v>
      </c>
      <c r="L30" s="675">
        <v>-147543.27000000002</v>
      </c>
      <c r="M30" s="1231">
        <v>0</v>
      </c>
    </row>
    <row r="31" spans="1:13">
      <c r="A31" s="677">
        <f t="shared" ref="A31:A42" si="2">+A30+1</f>
        <v>17</v>
      </c>
      <c r="B31" s="697" t="s">
        <v>559</v>
      </c>
      <c r="C31" s="675">
        <v>3649808445.3900027</v>
      </c>
      <c r="D31" s="675">
        <v>69411492.439999998</v>
      </c>
      <c r="E31" s="675">
        <v>992920184.66999996</v>
      </c>
      <c r="F31" s="675">
        <v>0</v>
      </c>
      <c r="G31" s="675">
        <v>1937791516.1499999</v>
      </c>
      <c r="H31" s="675">
        <v>2352.94</v>
      </c>
      <c r="I31" s="675">
        <v>293967835.71999985</v>
      </c>
      <c r="J31" s="675">
        <v>905647.08</v>
      </c>
      <c r="K31" s="675">
        <v>17146830.140000001</v>
      </c>
      <c r="L31" s="675">
        <v>-123779.34000000008</v>
      </c>
      <c r="M31" s="1231">
        <v>0</v>
      </c>
    </row>
    <row r="32" spans="1:13">
      <c r="A32" s="677">
        <f t="shared" si="2"/>
        <v>18</v>
      </c>
      <c r="B32" s="697" t="s">
        <v>633</v>
      </c>
      <c r="C32" s="675">
        <v>3666512839.7599993</v>
      </c>
      <c r="D32" s="675">
        <v>70735551</v>
      </c>
      <c r="E32" s="675">
        <v>999486279.53999984</v>
      </c>
      <c r="F32" s="675">
        <v>0</v>
      </c>
      <c r="G32" s="675">
        <v>1948921305</v>
      </c>
      <c r="H32" s="675">
        <v>2358.66</v>
      </c>
      <c r="I32" s="675">
        <v>287993118</v>
      </c>
      <c r="J32" s="675">
        <v>909242.28</v>
      </c>
      <c r="K32" s="675">
        <v>17883111</v>
      </c>
      <c r="L32" s="675">
        <v>-100015.41000000015</v>
      </c>
      <c r="M32" s="1231">
        <v>0</v>
      </c>
    </row>
    <row r="33" spans="1:13">
      <c r="A33" s="677">
        <f t="shared" si="2"/>
        <v>19</v>
      </c>
      <c r="B33" s="697" t="s">
        <v>187</v>
      </c>
      <c r="C33" s="675">
        <v>3683344074.0300007</v>
      </c>
      <c r="D33" s="675">
        <v>72057002</v>
      </c>
      <c r="E33" s="675">
        <v>1005636897.6200001</v>
      </c>
      <c r="F33" s="675">
        <v>0</v>
      </c>
      <c r="G33" s="675">
        <v>1959979446.5200005</v>
      </c>
      <c r="H33" s="675">
        <v>2364.39</v>
      </c>
      <c r="I33" s="675">
        <v>293513133</v>
      </c>
      <c r="J33" s="675">
        <v>912837.5</v>
      </c>
      <c r="K33" s="675">
        <v>17917594</v>
      </c>
      <c r="L33" s="675">
        <v>-76251.480000000214</v>
      </c>
      <c r="M33" s="1231">
        <v>0</v>
      </c>
    </row>
    <row r="34" spans="1:13">
      <c r="A34" s="677">
        <f t="shared" si="2"/>
        <v>20</v>
      </c>
      <c r="B34" s="697" t="s">
        <v>188</v>
      </c>
      <c r="C34" s="675">
        <v>3700042830.3599997</v>
      </c>
      <c r="D34" s="675">
        <v>73378452</v>
      </c>
      <c r="E34" s="675">
        <v>1011740504.4799998</v>
      </c>
      <c r="F34" s="675">
        <v>0</v>
      </c>
      <c r="G34" s="675">
        <v>1971189040.6200001</v>
      </c>
      <c r="H34" s="675">
        <v>2370.11</v>
      </c>
      <c r="I34" s="675">
        <v>298940227</v>
      </c>
      <c r="J34" s="675">
        <v>916432.7</v>
      </c>
      <c r="K34" s="675">
        <v>17952077</v>
      </c>
      <c r="L34" s="675">
        <v>-52487.550000000047</v>
      </c>
      <c r="M34" s="1231">
        <v>0</v>
      </c>
    </row>
    <row r="35" spans="1:13">
      <c r="A35" s="677">
        <f t="shared" si="2"/>
        <v>21</v>
      </c>
      <c r="B35" s="697" t="s">
        <v>382</v>
      </c>
      <c r="C35" s="675">
        <v>3714625146.23</v>
      </c>
      <c r="D35" s="675">
        <v>74699903</v>
      </c>
      <c r="E35" s="675">
        <v>1014211574.0000001</v>
      </c>
      <c r="F35" s="675">
        <v>0</v>
      </c>
      <c r="G35" s="675">
        <v>1985441584.3999996</v>
      </c>
      <c r="H35" s="675">
        <v>2375.83</v>
      </c>
      <c r="I35" s="675">
        <v>295880457</v>
      </c>
      <c r="J35" s="675">
        <v>920027.9</v>
      </c>
      <c r="K35" s="675">
        <v>20189508</v>
      </c>
      <c r="L35" s="675">
        <v>-28723.620000000112</v>
      </c>
      <c r="M35" s="1231">
        <v>0</v>
      </c>
    </row>
    <row r="36" spans="1:13">
      <c r="A36" s="677">
        <f t="shared" si="2"/>
        <v>22</v>
      </c>
      <c r="B36" s="697" t="s">
        <v>189</v>
      </c>
      <c r="C36" s="675">
        <v>3728959913.9200025</v>
      </c>
      <c r="D36" s="675">
        <v>76021353</v>
      </c>
      <c r="E36" s="675">
        <v>1017537153.3799998</v>
      </c>
      <c r="F36" s="675">
        <v>0</v>
      </c>
      <c r="G36" s="675">
        <v>1998241075.5500004</v>
      </c>
      <c r="H36" s="675">
        <v>2381.56</v>
      </c>
      <c r="I36" s="675">
        <v>300644250</v>
      </c>
      <c r="J36" s="675">
        <v>923623.11</v>
      </c>
      <c r="K36" s="675">
        <v>18025681</v>
      </c>
      <c r="L36" s="675">
        <v>-4959.690000000177</v>
      </c>
      <c r="M36" s="1231">
        <v>0</v>
      </c>
    </row>
    <row r="37" spans="1:13">
      <c r="A37" s="677">
        <f t="shared" si="2"/>
        <v>23</v>
      </c>
      <c r="B37" s="697" t="s">
        <v>632</v>
      </c>
      <c r="C37" s="675">
        <v>3746086924.3000002</v>
      </c>
      <c r="D37" s="675">
        <v>77342802.519999996</v>
      </c>
      <c r="E37" s="675">
        <v>1022428718.9999998</v>
      </c>
      <c r="F37" s="675">
        <v>0</v>
      </c>
      <c r="G37" s="675">
        <v>2011429998.2500002</v>
      </c>
      <c r="H37" s="675">
        <v>2387.2800000000002</v>
      </c>
      <c r="I37" s="675">
        <v>305537997.22000003</v>
      </c>
      <c r="J37" s="675">
        <v>927218.32000000007</v>
      </c>
      <c r="K37" s="675">
        <v>17631035.530000001</v>
      </c>
      <c r="L37" s="675">
        <v>18804.239999999991</v>
      </c>
      <c r="M37" s="1231">
        <v>0</v>
      </c>
    </row>
    <row r="38" spans="1:13">
      <c r="A38" s="677">
        <f t="shared" si="2"/>
        <v>24</v>
      </c>
      <c r="B38" s="697" t="s">
        <v>192</v>
      </c>
      <c r="C38" s="675">
        <v>3759758580.940001</v>
      </c>
      <c r="D38" s="675">
        <v>78664253</v>
      </c>
      <c r="E38" s="675">
        <v>1029299526.26</v>
      </c>
      <c r="F38" s="675">
        <v>0</v>
      </c>
      <c r="G38" s="675">
        <v>2024127993.8699994</v>
      </c>
      <c r="H38" s="675">
        <v>2393.0100000000002</v>
      </c>
      <c r="I38" s="675">
        <v>288165228.08999997</v>
      </c>
      <c r="J38" s="675">
        <v>930813.54</v>
      </c>
      <c r="K38" s="675">
        <v>18103942.739999998</v>
      </c>
      <c r="L38" s="675">
        <v>42520.449999999953</v>
      </c>
      <c r="M38" s="1231">
        <v>0</v>
      </c>
    </row>
    <row r="39" spans="1:13">
      <c r="A39" s="677">
        <f t="shared" si="2"/>
        <v>25</v>
      </c>
      <c r="B39" s="697" t="s">
        <v>560</v>
      </c>
      <c r="C39" s="675">
        <v>3771887970.4600005</v>
      </c>
      <c r="D39" s="675">
        <v>79985703.079999998</v>
      </c>
      <c r="E39" s="675">
        <v>1030758561.2299998</v>
      </c>
      <c r="F39" s="675">
        <v>0</v>
      </c>
      <c r="G39" s="675">
        <v>2029538264.3600001</v>
      </c>
      <c r="H39" s="675">
        <v>2398.7400000000002</v>
      </c>
      <c r="I39" s="675">
        <v>292260149.04000002</v>
      </c>
      <c r="J39" s="675">
        <v>934408.76</v>
      </c>
      <c r="K39" s="675">
        <v>18143073.41</v>
      </c>
      <c r="L39" s="675">
        <v>66236.659999999916</v>
      </c>
      <c r="M39" s="1231">
        <v>0</v>
      </c>
    </row>
    <row r="40" spans="1:13">
      <c r="A40" s="677">
        <f t="shared" si="2"/>
        <v>26</v>
      </c>
      <c r="B40" s="697" t="s">
        <v>561</v>
      </c>
      <c r="C40" s="675">
        <v>3790186869.2099986</v>
      </c>
      <c r="D40" s="675">
        <v>82869388.859999999</v>
      </c>
      <c r="E40" s="675">
        <v>1033002117.8499997</v>
      </c>
      <c r="F40" s="675">
        <v>0</v>
      </c>
      <c r="G40" s="675">
        <v>2035719803.5200002</v>
      </c>
      <c r="H40" s="675">
        <v>2404.46</v>
      </c>
      <c r="I40" s="675">
        <v>293659882.05000001</v>
      </c>
      <c r="J40" s="675">
        <v>938003.96000000008</v>
      </c>
      <c r="K40" s="675">
        <v>18182203.699999999</v>
      </c>
      <c r="L40" s="675">
        <v>89952.869999999879</v>
      </c>
      <c r="M40" s="1231">
        <v>0</v>
      </c>
    </row>
    <row r="41" spans="1:13">
      <c r="A41" s="676">
        <f t="shared" si="2"/>
        <v>27</v>
      </c>
      <c r="B41" s="696" t="s">
        <v>631</v>
      </c>
      <c r="C41" s="675">
        <v>3807455305.1100006</v>
      </c>
      <c r="D41" s="675">
        <v>84201955.079999998</v>
      </c>
      <c r="E41" s="675">
        <v>1030580016.48</v>
      </c>
      <c r="F41" s="675">
        <v>0</v>
      </c>
      <c r="G41" s="675">
        <v>2043226127.8600008</v>
      </c>
      <c r="H41" s="675">
        <v>2410.19</v>
      </c>
      <c r="I41" s="675">
        <v>284894236.05000001</v>
      </c>
      <c r="J41" s="675">
        <v>941599.17999999993</v>
      </c>
      <c r="K41" s="675">
        <v>18221511.050000001</v>
      </c>
      <c r="L41" s="675">
        <v>1880547.76</v>
      </c>
      <c r="M41" s="1231">
        <v>0</v>
      </c>
    </row>
    <row r="42" spans="1:13" ht="13.5" thickBot="1">
      <c r="A42" s="695">
        <f t="shared" si="2"/>
        <v>28</v>
      </c>
      <c r="B42" s="878" t="s">
        <v>857</v>
      </c>
      <c r="C42" s="693">
        <f>SUM(C29:C41)/13</f>
        <v>3715228859.9669232</v>
      </c>
      <c r="D42" s="693">
        <f t="shared" ref="D42:M42" si="3">SUM(D29:D41)/13</f>
        <v>74940900.643076926</v>
      </c>
      <c r="E42" s="693">
        <f t="shared" si="3"/>
        <v>1012134925.5761536</v>
      </c>
      <c r="F42" s="693">
        <f t="shared" si="3"/>
        <v>0</v>
      </c>
      <c r="G42" s="693">
        <f t="shared" si="3"/>
        <v>1983380071.5800004</v>
      </c>
      <c r="H42" s="693">
        <f t="shared" si="3"/>
        <v>2375.836153846154</v>
      </c>
      <c r="I42" s="693">
        <f t="shared" si="3"/>
        <v>281510986.93615395</v>
      </c>
      <c r="J42" s="693">
        <f t="shared" si="3"/>
        <v>920027.91230769246</v>
      </c>
      <c r="K42" s="1197">
        <f t="shared" si="3"/>
        <v>30659151.242307696</v>
      </c>
      <c r="L42" s="1192">
        <f t="shared" si="3"/>
        <v>120330.89384615376</v>
      </c>
      <c r="M42" s="1193">
        <f t="shared" si="3"/>
        <v>0</v>
      </c>
    </row>
    <row r="43" spans="1:13" ht="13.5" thickTop="1">
      <c r="A43" s="78"/>
      <c r="B43" s="671"/>
      <c r="C43" s="692"/>
      <c r="D43" s="670"/>
      <c r="E43" s="670"/>
      <c r="F43" s="670"/>
      <c r="G43" s="692"/>
      <c r="H43"/>
      <c r="I43"/>
      <c r="J43"/>
      <c r="K43"/>
    </row>
    <row r="44" spans="1:13">
      <c r="A44" s="78"/>
      <c r="B44" s="671"/>
      <c r="C44" s="692"/>
      <c r="D44" s="670"/>
      <c r="E44" s="670"/>
      <c r="F44" s="670"/>
      <c r="G44" s="692"/>
      <c r="H44" s="692"/>
      <c r="I44" s="692"/>
    </row>
    <row r="45" spans="1:13">
      <c r="A45" s="691"/>
      <c r="B45" s="690"/>
      <c r="C45" s="689"/>
      <c r="D45" s="688"/>
      <c r="E45" s="688"/>
      <c r="F45" s="1202"/>
      <c r="G45" s="1198"/>
      <c r="H45" s="1199"/>
      <c r="I45"/>
      <c r="J45"/>
      <c r="K45"/>
    </row>
    <row r="46" spans="1:13" ht="72" customHeight="1">
      <c r="A46" s="687" t="s">
        <v>647</v>
      </c>
      <c r="B46" s="681" t="s">
        <v>646</v>
      </c>
      <c r="C46" s="686" t="s">
        <v>645</v>
      </c>
      <c r="D46" s="685" t="s">
        <v>644</v>
      </c>
      <c r="E46" s="685" t="s">
        <v>643</v>
      </c>
      <c r="F46" s="685" t="s">
        <v>642</v>
      </c>
      <c r="G46" s="685" t="s">
        <v>1434</v>
      </c>
      <c r="H46" s="684" t="s">
        <v>1435</v>
      </c>
      <c r="I46"/>
      <c r="J46"/>
      <c r="K46"/>
    </row>
    <row r="47" spans="1:13" s="678" customFormat="1">
      <c r="A47" s="677"/>
      <c r="B47" s="681" t="s">
        <v>641</v>
      </c>
      <c r="C47" s="683" t="s">
        <v>640</v>
      </c>
      <c r="D47" s="681" t="s">
        <v>639</v>
      </c>
      <c r="E47" s="681" t="s">
        <v>638</v>
      </c>
      <c r="F47" s="681" t="s">
        <v>637</v>
      </c>
      <c r="G47" s="681" t="s">
        <v>659</v>
      </c>
      <c r="H47" s="682" t="s">
        <v>660</v>
      </c>
      <c r="I47"/>
      <c r="J47"/>
      <c r="K47"/>
      <c r="L47" s="4"/>
    </row>
    <row r="48" spans="1:13" s="678" customFormat="1" ht="63.75">
      <c r="A48" s="677"/>
      <c r="B48" s="681" t="s">
        <v>636</v>
      </c>
      <c r="C48" s="680" t="s">
        <v>668</v>
      </c>
      <c r="D48" s="680" t="s">
        <v>669</v>
      </c>
      <c r="E48" s="679" t="s">
        <v>635</v>
      </c>
      <c r="F48" s="679" t="s">
        <v>635</v>
      </c>
      <c r="G48" s="1200" t="s">
        <v>635</v>
      </c>
      <c r="H48" s="1201" t="s">
        <v>635</v>
      </c>
      <c r="I48"/>
      <c r="J48"/>
      <c r="K48"/>
      <c r="L48" s="4"/>
    </row>
    <row r="49" spans="1:11">
      <c r="A49" s="677">
        <f>+A42+1</f>
        <v>29</v>
      </c>
      <c r="B49" s="698" t="s">
        <v>634</v>
      </c>
      <c r="C49" s="675">
        <v>80223650.930000007</v>
      </c>
      <c r="D49" s="675">
        <v>30824803.039999999</v>
      </c>
      <c r="E49" s="675">
        <v>66961.880000000019</v>
      </c>
      <c r="F49" s="1203"/>
      <c r="G49" s="675">
        <v>0</v>
      </c>
      <c r="H49" s="1231">
        <v>0</v>
      </c>
      <c r="I49"/>
      <c r="J49"/>
      <c r="K49"/>
    </row>
    <row r="50" spans="1:11">
      <c r="A50" s="677">
        <f>+A49+1</f>
        <v>30</v>
      </c>
      <c r="B50" s="698" t="s">
        <v>185</v>
      </c>
      <c r="C50" s="675">
        <v>80223674.769999996</v>
      </c>
      <c r="D50" s="675">
        <v>30998887.73</v>
      </c>
      <c r="E50" s="675">
        <v>20561.94999999999</v>
      </c>
      <c r="F50" s="675"/>
      <c r="G50" s="675">
        <v>5726248.7999999998</v>
      </c>
      <c r="H50" s="1231">
        <v>-147543.27000000002</v>
      </c>
      <c r="I50"/>
      <c r="J50"/>
      <c r="K50"/>
    </row>
    <row r="51" spans="1:11">
      <c r="A51" s="677">
        <f t="shared" ref="A51:A62" si="4">+A50+1</f>
        <v>31</v>
      </c>
      <c r="B51" s="697" t="s">
        <v>559</v>
      </c>
      <c r="C51" s="675">
        <v>83064198.99000001</v>
      </c>
      <c r="D51" s="675">
        <v>28180715.809999999</v>
      </c>
      <c r="E51" s="675">
        <v>-502.83999999995717</v>
      </c>
      <c r="F51" s="675"/>
      <c r="G51" s="675">
        <v>5726248.7999999998</v>
      </c>
      <c r="H51" s="1231">
        <v>-123779.34000000008</v>
      </c>
      <c r="I51"/>
      <c r="J51"/>
      <c r="K51"/>
    </row>
    <row r="52" spans="1:11">
      <c r="A52" s="677">
        <f t="shared" si="4"/>
        <v>32</v>
      </c>
      <c r="B52" s="697" t="s">
        <v>633</v>
      </c>
      <c r="C52" s="675">
        <v>83064198.99000001</v>
      </c>
      <c r="D52" s="675">
        <v>28360836.760000002</v>
      </c>
      <c r="E52" s="675">
        <v>365.3500000000065</v>
      </c>
      <c r="F52" s="675"/>
      <c r="G52" s="675">
        <v>5726248.7999999998</v>
      </c>
      <c r="H52" s="1231">
        <v>-100015.41000000015</v>
      </c>
      <c r="I52"/>
      <c r="J52"/>
      <c r="K52"/>
    </row>
    <row r="53" spans="1:11">
      <c r="A53" s="677">
        <f t="shared" si="4"/>
        <v>33</v>
      </c>
      <c r="B53" s="697" t="s">
        <v>187</v>
      </c>
      <c r="C53" s="675">
        <v>83064198.99000001</v>
      </c>
      <c r="D53" s="675">
        <v>28540957.579999998</v>
      </c>
      <c r="E53" s="675">
        <v>2116741.98</v>
      </c>
      <c r="F53" s="675"/>
      <c r="G53" s="675">
        <v>5726248.7999999998</v>
      </c>
      <c r="H53" s="1231">
        <v>-76251.480000000214</v>
      </c>
      <c r="I53"/>
      <c r="J53"/>
      <c r="K53"/>
    </row>
    <row r="54" spans="1:11">
      <c r="A54" s="677">
        <f t="shared" si="4"/>
        <v>34</v>
      </c>
      <c r="B54" s="697" t="s">
        <v>188</v>
      </c>
      <c r="C54" s="675">
        <v>83064198.989999995</v>
      </c>
      <c r="D54" s="675">
        <v>28591205.940000001</v>
      </c>
      <c r="E54" s="675">
        <v>99823.14</v>
      </c>
      <c r="F54" s="675"/>
      <c r="G54" s="675">
        <v>5726248.7999999998</v>
      </c>
      <c r="H54" s="1231">
        <v>-52487.550000000047</v>
      </c>
      <c r="I54"/>
      <c r="J54"/>
      <c r="K54"/>
    </row>
    <row r="55" spans="1:11">
      <c r="A55" s="677">
        <f t="shared" si="4"/>
        <v>35</v>
      </c>
      <c r="B55" s="697" t="s">
        <v>382</v>
      </c>
      <c r="C55" s="675">
        <v>83064198.989999995</v>
      </c>
      <c r="D55" s="675">
        <v>28771326.849999998</v>
      </c>
      <c r="E55" s="675">
        <v>24801.969999999608</v>
      </c>
      <c r="F55" s="675"/>
      <c r="G55" s="675">
        <v>5726248.7999999998</v>
      </c>
      <c r="H55" s="1231">
        <v>-28723.620000000112</v>
      </c>
      <c r="I55"/>
      <c r="J55"/>
      <c r="K55"/>
    </row>
    <row r="56" spans="1:11">
      <c r="A56" s="677">
        <f t="shared" si="4"/>
        <v>36</v>
      </c>
      <c r="B56" s="697" t="s">
        <v>189</v>
      </c>
      <c r="C56" s="675">
        <v>83064198.989999995</v>
      </c>
      <c r="D56" s="675">
        <v>28951447.91</v>
      </c>
      <c r="E56" s="675">
        <v>-80582.489999988262</v>
      </c>
      <c r="F56" s="675"/>
      <c r="G56" s="675">
        <v>5726248.7999999998</v>
      </c>
      <c r="H56" s="1231">
        <v>-4959.690000000177</v>
      </c>
      <c r="I56"/>
      <c r="J56"/>
      <c r="K56"/>
    </row>
    <row r="57" spans="1:11">
      <c r="A57" s="677">
        <f t="shared" si="4"/>
        <v>37</v>
      </c>
      <c r="B57" s="697" t="s">
        <v>632</v>
      </c>
      <c r="C57" s="675">
        <v>83064198.420000002</v>
      </c>
      <c r="D57" s="675">
        <v>29131568.100000001</v>
      </c>
      <c r="E57" s="675">
        <v>-18175.720000000008</v>
      </c>
      <c r="F57" s="675"/>
      <c r="G57" s="675">
        <v>5726248.7999999998</v>
      </c>
      <c r="H57" s="1231">
        <v>18804.239999999991</v>
      </c>
      <c r="I57"/>
      <c r="J57"/>
      <c r="K57"/>
    </row>
    <row r="58" spans="1:11">
      <c r="A58" s="677">
        <f t="shared" si="4"/>
        <v>38</v>
      </c>
      <c r="B58" s="697" t="s">
        <v>192</v>
      </c>
      <c r="C58" s="675">
        <v>83064198.420000002</v>
      </c>
      <c r="D58" s="675">
        <v>29322561.969999999</v>
      </c>
      <c r="E58" s="675">
        <v>40111.280000000086</v>
      </c>
      <c r="F58" s="675"/>
      <c r="G58" s="675">
        <v>5726248.7999999998</v>
      </c>
      <c r="H58" s="1231">
        <v>42520.449999999953</v>
      </c>
      <c r="I58"/>
      <c r="J58"/>
      <c r="K58"/>
    </row>
    <row r="59" spans="1:11">
      <c r="A59" s="677">
        <f t="shared" si="4"/>
        <v>39</v>
      </c>
      <c r="B59" s="697" t="s">
        <v>560</v>
      </c>
      <c r="C59" s="675">
        <v>83064198.420000002</v>
      </c>
      <c r="D59" s="675">
        <v>29513555.489999998</v>
      </c>
      <c r="E59" s="675">
        <v>-21321.040000000172</v>
      </c>
      <c r="F59" s="675"/>
      <c r="G59" s="675">
        <v>5726248.7999999998</v>
      </c>
      <c r="H59" s="1231">
        <v>66236.659999999916</v>
      </c>
      <c r="I59"/>
      <c r="J59"/>
      <c r="K59"/>
    </row>
    <row r="60" spans="1:11">
      <c r="A60" s="677">
        <f t="shared" si="4"/>
        <v>40</v>
      </c>
      <c r="B60" s="697" t="s">
        <v>561</v>
      </c>
      <c r="C60" s="675">
        <v>83064198.420000002</v>
      </c>
      <c r="D60" s="675">
        <v>29704549.25</v>
      </c>
      <c r="E60" s="675">
        <v>1194724.8000000003</v>
      </c>
      <c r="F60" s="675"/>
      <c r="G60" s="675">
        <v>5726248.7999999998</v>
      </c>
      <c r="H60" s="1231">
        <v>89952.869999999879</v>
      </c>
      <c r="I60"/>
      <c r="J60"/>
      <c r="K60"/>
    </row>
    <row r="61" spans="1:11">
      <c r="A61" s="676">
        <f t="shared" si="4"/>
        <v>41</v>
      </c>
      <c r="B61" s="696" t="s">
        <v>631</v>
      </c>
      <c r="C61" s="675">
        <v>83064198.420000002</v>
      </c>
      <c r="D61" s="675">
        <v>29895542.890000001</v>
      </c>
      <c r="E61" s="675">
        <v>457834.96999999991</v>
      </c>
      <c r="F61" s="1196"/>
      <c r="G61" s="675">
        <v>5726248.7999999998</v>
      </c>
      <c r="H61" s="1231">
        <v>1880547.76</v>
      </c>
      <c r="I61"/>
      <c r="J61"/>
      <c r="K61"/>
    </row>
    <row r="62" spans="1:11" ht="13.5" thickBot="1">
      <c r="A62" s="674">
        <f t="shared" si="4"/>
        <v>42</v>
      </c>
      <c r="B62" s="878" t="s">
        <v>857</v>
      </c>
      <c r="C62" s="693">
        <f>SUM(C49:C61)/13</f>
        <v>82627193.210769206</v>
      </c>
      <c r="D62" s="672">
        <f>SUM(D49:D61)/13</f>
        <v>29291381.486153845</v>
      </c>
      <c r="E62" s="672">
        <f>SUM(E49:E61)/13</f>
        <v>300103.47923077014</v>
      </c>
      <c r="F62" s="1204">
        <f>SUM(F49:F61)/13</f>
        <v>0</v>
      </c>
      <c r="G62" s="1192">
        <f t="shared" ref="G62:H62" si="5">SUM(G49:G61)/13</f>
        <v>5285768.1230769213</v>
      </c>
      <c r="H62" s="1193">
        <f t="shared" si="5"/>
        <v>120330.89384615376</v>
      </c>
      <c r="I62"/>
      <c r="J62"/>
      <c r="K62"/>
    </row>
    <row r="63" spans="1:11" ht="13.5" thickTop="1">
      <c r="A63" s="78"/>
      <c r="B63" s="671"/>
      <c r="G63"/>
      <c r="H63"/>
      <c r="I63"/>
      <c r="J63"/>
      <c r="K63"/>
    </row>
    <row r="64" spans="1:11">
      <c r="A64" s="78">
        <v>43</v>
      </c>
      <c r="B64" s="671" t="s">
        <v>630</v>
      </c>
      <c r="D64" s="471">
        <f>+E42-D62</f>
        <v>982843544.08999979</v>
      </c>
      <c r="I64" s="670"/>
    </row>
    <row r="65" spans="1:7" customFormat="1"/>
    <row r="66" spans="1:7" customFormat="1">
      <c r="A66" s="669"/>
      <c r="B66" s="225"/>
      <c r="C66" s="226"/>
      <c r="D66" s="227"/>
      <c r="E66" s="55"/>
      <c r="F66" s="55"/>
      <c r="G66" s="65"/>
    </row>
    <row r="67" spans="1:7" customFormat="1" ht="25.5">
      <c r="A67" s="708" t="s">
        <v>3</v>
      </c>
      <c r="B67" s="225"/>
      <c r="C67" s="705" t="s">
        <v>2</v>
      </c>
      <c r="D67" s="706" t="str">
        <f>"Balance @ December 31, "&amp;TCOS!L4&amp;""</f>
        <v>Balance @ December 31, 2025</v>
      </c>
      <c r="E67" s="707" t="str">
        <f>"Balance @ December 31, "&amp;TCOS!L4-1&amp;""</f>
        <v>Balance @ December 31, 2024</v>
      </c>
      <c r="F67" s="707" t="str">
        <f>"Average Balance for "&amp;TCOS!L4&amp;""</f>
        <v>Average Balance for 2025</v>
      </c>
      <c r="G67" s="65"/>
    </row>
    <row r="68" spans="1:7" customFormat="1">
      <c r="A68" s="70"/>
      <c r="B68" s="681" t="s">
        <v>641</v>
      </c>
      <c r="C68" s="681" t="s">
        <v>640</v>
      </c>
      <c r="D68" s="681" t="s">
        <v>639</v>
      </c>
      <c r="E68" s="681" t="s">
        <v>638</v>
      </c>
      <c r="F68" s="681" t="s">
        <v>637</v>
      </c>
      <c r="G68" s="65"/>
    </row>
    <row r="69" spans="1:7" customFormat="1">
      <c r="A69" s="225">
        <f>+A64+1</f>
        <v>44</v>
      </c>
      <c r="B69" s="70" t="s">
        <v>3</v>
      </c>
      <c r="C69" s="228" t="s">
        <v>374</v>
      </c>
      <c r="D69" s="618">
        <v>3374771.67</v>
      </c>
      <c r="E69" s="618">
        <v>3374771.67</v>
      </c>
      <c r="F69" s="104">
        <f>IF(E69="",0,AVERAGE(D69:E69))</f>
        <v>3374771.67</v>
      </c>
    </row>
    <row r="70" spans="1:7" customFormat="1">
      <c r="A70" s="224"/>
      <c r="B70" s="229"/>
      <c r="C70" s="229"/>
      <c r="F70" s="65"/>
    </row>
    <row r="71" spans="1:7" customFormat="1">
      <c r="A71" s="223">
        <f>+A69+1</f>
        <v>45</v>
      </c>
      <c r="B71" s="70" t="s">
        <v>820</v>
      </c>
      <c r="C71" s="240" t="s">
        <v>67</v>
      </c>
      <c r="D71" s="618">
        <v>1573244.76</v>
      </c>
      <c r="E71" s="618">
        <v>1573244.76</v>
      </c>
      <c r="F71" s="104">
        <f>IF(E71="",0,AVERAGE(D71:E71))</f>
        <v>1573244.76</v>
      </c>
    </row>
    <row r="72" spans="1:7" customFormat="1">
      <c r="A72" s="68"/>
      <c r="B72" s="68"/>
      <c r="C72" s="68"/>
      <c r="D72" s="68"/>
    </row>
    <row r="73" spans="1:7" customFormat="1">
      <c r="A73" s="70" t="s">
        <v>236</v>
      </c>
      <c r="B73" s="68"/>
      <c r="C73" s="68"/>
      <c r="D73" s="68"/>
    </row>
    <row r="74" spans="1:7" customFormat="1">
      <c r="A74" s="227"/>
      <c r="B74" s="227" t="s">
        <v>360</v>
      </c>
      <c r="C74" s="227"/>
      <c r="D74" s="53"/>
      <c r="E74" s="53"/>
      <c r="F74" s="53"/>
    </row>
    <row r="75" spans="1:7" customFormat="1">
      <c r="A75" s="225">
        <f>+A71+1</f>
        <v>46</v>
      </c>
      <c r="B75" s="925" t="s">
        <v>114</v>
      </c>
      <c r="C75" s="819"/>
      <c r="D75" s="618">
        <v>0</v>
      </c>
      <c r="E75" s="618" t="s">
        <v>114</v>
      </c>
      <c r="F75" s="104">
        <f>IF(E75="",0,AVERAGE(D75:E75))</f>
        <v>0</v>
      </c>
    </row>
    <row r="76" spans="1:7" customFormat="1">
      <c r="A76" s="225">
        <f>+A75+1</f>
        <v>47</v>
      </c>
      <c r="B76" s="619"/>
      <c r="C76" s="619"/>
      <c r="D76" s="618"/>
      <c r="E76" s="618"/>
      <c r="F76" s="104">
        <f>IF(E76="",0,AVERAGE(D76:E76))</f>
        <v>0</v>
      </c>
    </row>
    <row r="77" spans="1:7" customFormat="1">
      <c r="A77" s="225">
        <f>+A76+1</f>
        <v>48</v>
      </c>
      <c r="B77" s="619"/>
      <c r="C77" s="619"/>
      <c r="D77" s="618"/>
      <c r="E77" s="618"/>
      <c r="F77" s="104">
        <f>IF(E77="",0,AVERAGE(D77:E77))</f>
        <v>0</v>
      </c>
    </row>
    <row r="78" spans="1:7" customFormat="1">
      <c r="A78" s="225">
        <f>+A77+1</f>
        <v>49</v>
      </c>
      <c r="B78" s="619"/>
      <c r="C78" s="619"/>
      <c r="D78" s="618"/>
      <c r="E78" s="618"/>
      <c r="F78" s="104">
        <f>IF(E78="",0,AVERAGE(D78:E78))</f>
        <v>0</v>
      </c>
    </row>
    <row r="79" spans="1:7" customFormat="1">
      <c r="A79" s="225">
        <f>+A78+1</f>
        <v>50</v>
      </c>
      <c r="B79" s="619"/>
      <c r="C79" s="619"/>
      <c r="D79" s="620"/>
      <c r="E79" s="620"/>
      <c r="F79" s="709">
        <f>IF(E79="",0,AVERAGE(D79:E79))</f>
        <v>0</v>
      </c>
    </row>
    <row r="80" spans="1:7" customFormat="1">
      <c r="A80" s="225">
        <f>+A79+1</f>
        <v>51</v>
      </c>
      <c r="B80" s="227" t="s">
        <v>497</v>
      </c>
      <c r="C80" s="227"/>
      <c r="D80" s="144">
        <f>SUM(D75:D79)</f>
        <v>0</v>
      </c>
      <c r="E80" s="144">
        <f>SUM(E75:E79)</f>
        <v>0</v>
      </c>
      <c r="F80" s="144">
        <f>SUM(F75:F79)</f>
        <v>0</v>
      </c>
    </row>
    <row r="81" spans="1:7" customFormat="1">
      <c r="A81" s="225"/>
      <c r="B81" s="227"/>
      <c r="C81" s="227"/>
      <c r="D81" s="144"/>
      <c r="E81" s="144"/>
      <c r="F81" s="144"/>
    </row>
    <row r="82" spans="1:7" customFormat="1" ht="18">
      <c r="A82" s="70" t="s">
        <v>753</v>
      </c>
      <c r="B82" s="666"/>
      <c r="C82" s="666"/>
      <c r="D82" s="666"/>
      <c r="E82" s="53"/>
      <c r="F82" s="53"/>
      <c r="G82" s="53"/>
    </row>
    <row r="83" spans="1:7" customFormat="1">
      <c r="A83" s="54"/>
      <c r="B83" s="192"/>
      <c r="C83" s="195"/>
      <c r="D83" s="5"/>
      <c r="E83" s="53"/>
      <c r="F83" s="53"/>
      <c r="G83" s="53"/>
    </row>
    <row r="84" spans="1:7" customFormat="1">
      <c r="A84" s="54">
        <f>+A80+1</f>
        <v>52</v>
      </c>
      <c r="B84" s="9" t="s">
        <v>167</v>
      </c>
      <c r="C84" s="9" t="s">
        <v>306</v>
      </c>
      <c r="D84" s="4"/>
      <c r="F84" s="9"/>
    </row>
    <row r="85" spans="1:7" customFormat="1" ht="14.25">
      <c r="A85" s="78" t="s">
        <v>746</v>
      </c>
      <c r="B85" s="925" t="s">
        <v>863</v>
      </c>
      <c r="C85" s="819">
        <v>2282003</v>
      </c>
      <c r="D85" s="618">
        <v>385932.34</v>
      </c>
      <c r="E85" s="618">
        <v>858349.41</v>
      </c>
      <c r="F85" s="710">
        <f>IF(E85="",0,AVERAGE(D85:E85))</f>
        <v>622140.875</v>
      </c>
    </row>
    <row r="86" spans="1:7" customFormat="1" ht="14.25">
      <c r="A86" s="78" t="s">
        <v>747</v>
      </c>
      <c r="B86" s="925" t="s">
        <v>1081</v>
      </c>
      <c r="C86" s="819" t="s">
        <v>1083</v>
      </c>
      <c r="D86" s="618">
        <v>326575.47000000003</v>
      </c>
      <c r="E86" s="618">
        <v>326940.94</v>
      </c>
      <c r="F86" s="710">
        <f>IF(E86="",0,AVERAGE(D86:E86))</f>
        <v>326758.20500000002</v>
      </c>
    </row>
    <row r="87" spans="1:7" customFormat="1" ht="14.25">
      <c r="A87" s="1097" t="s">
        <v>1080</v>
      </c>
      <c r="B87" s="925" t="s">
        <v>1082</v>
      </c>
      <c r="C87" s="819" t="s">
        <v>1084</v>
      </c>
      <c r="D87" s="620">
        <v>2065384.93</v>
      </c>
      <c r="E87" s="620">
        <v>2130818.19</v>
      </c>
      <c r="F87" s="711">
        <f>IF(E87="",0,AVERAGE(D87:E87))</f>
        <v>2098101.56</v>
      </c>
    </row>
    <row r="88" spans="1:7" customFormat="1" ht="18" customHeight="1">
      <c r="A88" s="1">
        <v>54</v>
      </c>
      <c r="C88" s="4" t="s">
        <v>118</v>
      </c>
      <c r="D88" s="471">
        <f>SUM(D85:D87)</f>
        <v>2777892.74</v>
      </c>
      <c r="E88" s="471">
        <f>SUM(E85:E87)</f>
        <v>3316108.54</v>
      </c>
      <c r="F88" s="471">
        <f>SUM(F85:F87)</f>
        <v>3047000.64</v>
      </c>
    </row>
    <row r="89" spans="1:7" customFormat="1">
      <c r="A89" s="225"/>
      <c r="B89" s="227"/>
      <c r="C89" s="227"/>
      <c r="D89" s="227"/>
    </row>
    <row r="90" spans="1:7">
      <c r="A90" s="55" t="s">
        <v>672</v>
      </c>
      <c r="B90" s="227"/>
      <c r="C90" s="227"/>
      <c r="D90" s="227"/>
    </row>
    <row r="91" spans="1:7">
      <c r="A91" s="55" t="s">
        <v>671</v>
      </c>
      <c r="B91" s="227"/>
      <c r="C91" s="227"/>
      <c r="D91" s="227"/>
    </row>
    <row r="92" spans="1:7">
      <c r="A92"/>
      <c r="B92"/>
      <c r="C92"/>
      <c r="D92"/>
    </row>
    <row r="93" spans="1:7">
      <c r="A93"/>
      <c r="B93"/>
      <c r="C93"/>
      <c r="D93"/>
    </row>
    <row r="94" spans="1:7">
      <c r="A94"/>
      <c r="B94"/>
      <c r="C94"/>
      <c r="D94"/>
    </row>
    <row r="95" spans="1:7">
      <c r="A95"/>
      <c r="B95"/>
      <c r="C95"/>
      <c r="D95"/>
    </row>
    <row r="96" spans="1:7">
      <c r="A96"/>
      <c r="B96"/>
      <c r="C96"/>
      <c r="D96"/>
    </row>
  </sheetData>
  <mergeCells count="6">
    <mergeCell ref="C25:M25"/>
    <mergeCell ref="A1:G1"/>
    <mergeCell ref="A2:G2"/>
    <mergeCell ref="A3:G3"/>
    <mergeCell ref="A4:G4"/>
    <mergeCell ref="C6:M6"/>
  </mergeCells>
  <pageMargins left="0.7" right="0.7" top="0.75" bottom="0.75" header="0.3" footer="0.3"/>
  <pageSetup fitToHeight="0" orientation="landscape" cellComments="asDisplayed" r:id="rId1"/>
  <headerFooter>
    <oddHeader>&amp;RPage  &amp;P of &amp;N</oddHeader>
  </headerFooter>
  <rowBreaks count="1" manualBreakCount="1">
    <brk id="43"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pageSetUpPr autoPageBreaks="0" fitToPage="1"/>
  </sheetPr>
  <dimension ref="A1:L105"/>
  <sheetViews>
    <sheetView tabSelected="1" topLeftCell="A25" zoomScale="90" zoomScaleNormal="90" zoomScaleSheetLayoutView="70" zoomScalePageLayoutView="85" workbookViewId="0">
      <selection activeCell="F7" sqref="F7"/>
    </sheetView>
  </sheetViews>
  <sheetFormatPr defaultColWidth="11.42578125" defaultRowHeight="12.75"/>
  <cols>
    <col min="1" max="1" width="10.42578125" style="731" customWidth="1"/>
    <col min="2" max="2" width="52.42578125" style="712" customWidth="1"/>
    <col min="3" max="7" width="20.42578125" style="712" customWidth="1"/>
    <col min="8" max="8" width="23" style="712" customWidth="1"/>
    <col min="9" max="11" width="20.42578125" style="712" customWidth="1"/>
    <col min="12" max="12" width="20" style="712" customWidth="1"/>
    <col min="13" max="14" width="15.140625" style="712" customWidth="1"/>
    <col min="15" max="16384" width="11.42578125" style="712"/>
  </cols>
  <sheetData>
    <row r="1" spans="1:12" ht="15">
      <c r="A1" s="1257" t="s">
        <v>387</v>
      </c>
      <c r="B1" s="1257"/>
      <c r="C1" s="1257"/>
      <c r="D1" s="1257"/>
      <c r="E1" s="1257"/>
      <c r="F1" s="1257"/>
      <c r="G1" s="1257"/>
      <c r="H1" s="78"/>
    </row>
    <row r="2" spans="1:12" ht="15">
      <c r="A2" s="1258" t="str">
        <f>"Cost of Service Formula Rate Using Actual/Projected FF1 Balances"</f>
        <v>Cost of Service Formula Rate Using Actual/Projected FF1 Balances</v>
      </c>
      <c r="B2" s="1258"/>
      <c r="C2" s="1258"/>
      <c r="D2" s="1258"/>
      <c r="E2" s="1258"/>
      <c r="F2" s="1258"/>
      <c r="G2" s="1258"/>
      <c r="H2" s="713"/>
      <c r="I2" s="713"/>
      <c r="J2" s="713"/>
      <c r="L2" s="714"/>
    </row>
    <row r="3" spans="1:12" ht="15">
      <c r="A3" s="1258" t="s">
        <v>673</v>
      </c>
      <c r="B3" s="1258"/>
      <c r="C3" s="1258"/>
      <c r="D3" s="1258"/>
      <c r="E3" s="1258"/>
      <c r="F3" s="1258"/>
      <c r="G3" s="1258"/>
      <c r="H3" s="713"/>
      <c r="I3" s="713"/>
      <c r="J3" s="713"/>
    </row>
    <row r="4" spans="1:12" ht="15">
      <c r="A4" s="1259" t="str">
        <f>TCOS!F9</f>
        <v>Appalachian Power Company</v>
      </c>
      <c r="B4" s="1259"/>
      <c r="C4" s="1259"/>
      <c r="D4" s="1259"/>
      <c r="E4" s="1259"/>
      <c r="F4" s="1259"/>
      <c r="G4" s="1259"/>
      <c r="H4" s="713"/>
      <c r="I4" s="713"/>
      <c r="J4" s="713"/>
    </row>
    <row r="5" spans="1:12">
      <c r="A5" s="713"/>
      <c r="B5" s="715"/>
      <c r="C5" s="715"/>
      <c r="D5" s="715"/>
      <c r="E5" s="716"/>
      <c r="F5" s="717"/>
      <c r="H5"/>
      <c r="I5"/>
      <c r="J5"/>
      <c r="K5"/>
      <c r="L5"/>
    </row>
    <row r="6" spans="1:12" ht="12.75" customHeight="1">
      <c r="A6" s="78"/>
      <c r="B6" s="702"/>
      <c r="C6" s="1311" t="s">
        <v>6</v>
      </c>
      <c r="D6" s="1312"/>
      <c r="E6" s="1312"/>
      <c r="F6" s="1312"/>
      <c r="G6" s="1313"/>
      <c r="H6" s="4"/>
      <c r="I6"/>
      <c r="J6"/>
      <c r="K6"/>
      <c r="L6"/>
    </row>
    <row r="7" spans="1:12" s="719" customFormat="1" ht="38.25">
      <c r="A7" s="701" t="s">
        <v>647</v>
      </c>
      <c r="B7" s="700" t="s">
        <v>646</v>
      </c>
      <c r="C7" s="686" t="s">
        <v>674</v>
      </c>
      <c r="D7" s="685" t="s">
        <v>368</v>
      </c>
      <c r="E7" s="685" t="s">
        <v>675</v>
      </c>
      <c r="F7" s="685" t="s">
        <v>676</v>
      </c>
      <c r="G7" s="718" t="s">
        <v>6</v>
      </c>
      <c r="H7" s="4"/>
      <c r="I7"/>
      <c r="J7"/>
      <c r="K7"/>
      <c r="L7"/>
    </row>
    <row r="8" spans="1:12" s="721" customFormat="1">
      <c r="A8" s="677"/>
      <c r="B8" s="682" t="s">
        <v>641</v>
      </c>
      <c r="C8" s="683" t="s">
        <v>640</v>
      </c>
      <c r="D8" s="681" t="s">
        <v>639</v>
      </c>
      <c r="E8" s="681" t="s">
        <v>638</v>
      </c>
      <c r="F8" s="681" t="s">
        <v>637</v>
      </c>
      <c r="G8" s="720" t="s">
        <v>677</v>
      </c>
      <c r="H8" s="4"/>
      <c r="I8"/>
      <c r="J8"/>
      <c r="K8"/>
      <c r="L8"/>
    </row>
    <row r="9" spans="1:12" s="721" customFormat="1" ht="44.25" customHeight="1">
      <c r="A9" s="677"/>
      <c r="B9" s="682" t="s">
        <v>636</v>
      </c>
      <c r="C9" s="722" t="s">
        <v>678</v>
      </c>
      <c r="D9" s="699" t="s">
        <v>679</v>
      </c>
      <c r="E9" s="699" t="s">
        <v>680</v>
      </c>
      <c r="F9" s="699" t="s">
        <v>681</v>
      </c>
      <c r="G9" s="987"/>
      <c r="H9" s="4"/>
      <c r="I9"/>
      <c r="J9"/>
      <c r="K9"/>
      <c r="L9"/>
    </row>
    <row r="10" spans="1:12">
      <c r="A10" s="677">
        <v>1</v>
      </c>
      <c r="B10" s="698" t="s">
        <v>634</v>
      </c>
      <c r="C10" s="723">
        <v>5748033503.6280041</v>
      </c>
      <c r="D10" s="723"/>
      <c r="E10" s="723">
        <v>-3463212.63</v>
      </c>
      <c r="F10" s="723">
        <v>11165009.049999999</v>
      </c>
      <c r="G10" s="724">
        <f>+C10-D10-E10-F10</f>
        <v>5740331707.208004</v>
      </c>
      <c r="H10" s="4"/>
      <c r="I10"/>
      <c r="J10"/>
      <c r="K10"/>
      <c r="L10"/>
    </row>
    <row r="11" spans="1:12">
      <c r="A11" s="677">
        <f t="shared" ref="A11:A23" si="0">+A10+1</f>
        <v>2</v>
      </c>
      <c r="B11" s="698" t="s">
        <v>185</v>
      </c>
      <c r="C11" s="723">
        <v>5841563825.3699999</v>
      </c>
      <c r="D11" s="723"/>
      <c r="E11" s="723">
        <v>-3463212.63</v>
      </c>
      <c r="F11" s="723">
        <v>11096101.01</v>
      </c>
      <c r="G11" s="724">
        <f t="shared" ref="G11:G22" si="1">+C11-D11-E11-F11</f>
        <v>5833930936.9899998</v>
      </c>
      <c r="H11" s="4"/>
      <c r="I11"/>
      <c r="J11"/>
      <c r="K11"/>
      <c r="L11"/>
    </row>
    <row r="12" spans="1:12">
      <c r="A12" s="677">
        <f t="shared" si="0"/>
        <v>3</v>
      </c>
      <c r="B12" s="697" t="s">
        <v>559</v>
      </c>
      <c r="C12" s="723">
        <v>5823731876.6700001</v>
      </c>
      <c r="D12" s="723"/>
      <c r="E12" s="723">
        <v>-3463212.63</v>
      </c>
      <c r="F12" s="723">
        <v>11027192.939999999</v>
      </c>
      <c r="G12" s="724">
        <f t="shared" si="1"/>
        <v>5816167896.3600006</v>
      </c>
      <c r="H12" s="4"/>
      <c r="I12"/>
      <c r="J12"/>
      <c r="K12"/>
      <c r="L12"/>
    </row>
    <row r="13" spans="1:12">
      <c r="A13" s="677">
        <f t="shared" si="0"/>
        <v>4</v>
      </c>
      <c r="B13" s="697" t="s">
        <v>633</v>
      </c>
      <c r="C13" s="723">
        <v>5862355693.4029942</v>
      </c>
      <c r="D13" s="723"/>
      <c r="E13" s="723">
        <v>-3463212.63</v>
      </c>
      <c r="F13" s="723">
        <v>10859820.550000001</v>
      </c>
      <c r="G13" s="724">
        <f t="shared" si="1"/>
        <v>5854959085.4829941</v>
      </c>
      <c r="H13" s="4"/>
      <c r="I13"/>
      <c r="J13"/>
      <c r="K13"/>
      <c r="L13"/>
    </row>
    <row r="14" spans="1:12">
      <c r="A14" s="677">
        <f t="shared" si="0"/>
        <v>5</v>
      </c>
      <c r="B14" s="697" t="s">
        <v>187</v>
      </c>
      <c r="C14" s="723">
        <v>5885393163.3359938</v>
      </c>
      <c r="D14" s="723"/>
      <c r="E14" s="723">
        <v>-3463212.63</v>
      </c>
      <c r="F14" s="723">
        <v>10790912.479999999</v>
      </c>
      <c r="G14" s="724">
        <f t="shared" si="1"/>
        <v>5878065463.4859943</v>
      </c>
      <c r="H14" s="4"/>
      <c r="I14"/>
      <c r="J14"/>
      <c r="K14"/>
      <c r="L14"/>
    </row>
    <row r="15" spans="1:12">
      <c r="A15" s="677">
        <f t="shared" si="0"/>
        <v>6</v>
      </c>
      <c r="B15" s="697" t="s">
        <v>188</v>
      </c>
      <c r="C15" s="723">
        <v>5904306399.4190025</v>
      </c>
      <c r="D15" s="723"/>
      <c r="E15" s="723">
        <v>-3463212.63</v>
      </c>
      <c r="F15" s="723">
        <v>10722004.42</v>
      </c>
      <c r="G15" s="724">
        <f t="shared" si="1"/>
        <v>5897047607.6290026</v>
      </c>
      <c r="H15" s="4"/>
      <c r="I15"/>
      <c r="J15"/>
      <c r="K15"/>
      <c r="L15"/>
    </row>
    <row r="16" spans="1:12">
      <c r="A16" s="677">
        <f t="shared" si="0"/>
        <v>7</v>
      </c>
      <c r="B16" s="697" t="s">
        <v>382</v>
      </c>
      <c r="C16" s="723">
        <v>5976100983.0329971</v>
      </c>
      <c r="D16" s="723"/>
      <c r="E16" s="723">
        <v>-3463212.63</v>
      </c>
      <c r="F16" s="723">
        <v>10554632.02</v>
      </c>
      <c r="G16" s="724">
        <f t="shared" si="1"/>
        <v>5969009563.6429968</v>
      </c>
      <c r="H16" s="4"/>
      <c r="I16"/>
      <c r="J16"/>
      <c r="K16"/>
      <c r="L16"/>
    </row>
    <row r="17" spans="1:12">
      <c r="A17" s="677">
        <f t="shared" si="0"/>
        <v>8</v>
      </c>
      <c r="B17" s="697" t="s">
        <v>189</v>
      </c>
      <c r="C17" s="723">
        <v>6020390532.215004</v>
      </c>
      <c r="D17" s="723"/>
      <c r="E17" s="723">
        <v>-3463212.63</v>
      </c>
      <c r="F17" s="723">
        <v>10485723.970000001</v>
      </c>
      <c r="G17" s="724">
        <f t="shared" si="1"/>
        <v>6013368020.8750038</v>
      </c>
      <c r="H17" s="4"/>
      <c r="I17"/>
      <c r="J17"/>
      <c r="K17"/>
      <c r="L17"/>
    </row>
    <row r="18" spans="1:12">
      <c r="A18" s="677">
        <f t="shared" si="0"/>
        <v>9</v>
      </c>
      <c r="B18" s="697" t="s">
        <v>632</v>
      </c>
      <c r="C18" s="723">
        <v>6042748144.6789942</v>
      </c>
      <c r="D18" s="723"/>
      <c r="E18" s="723">
        <v>-3463212.63</v>
      </c>
      <c r="F18" s="723">
        <v>10416815.92</v>
      </c>
      <c r="G18" s="724">
        <f t="shared" si="1"/>
        <v>6035794541.3889942</v>
      </c>
      <c r="H18" s="4"/>
      <c r="I18"/>
      <c r="J18"/>
      <c r="K18"/>
      <c r="L18"/>
    </row>
    <row r="19" spans="1:12">
      <c r="A19" s="677">
        <f t="shared" si="0"/>
        <v>10</v>
      </c>
      <c r="B19" s="697" t="s">
        <v>192</v>
      </c>
      <c r="C19" s="723">
        <v>6058272319.1299963</v>
      </c>
      <c r="D19" s="723"/>
      <c r="E19" s="723">
        <v>-3463212.63</v>
      </c>
      <c r="F19" s="723">
        <v>10249443.510000002</v>
      </c>
      <c r="G19" s="724">
        <f t="shared" si="1"/>
        <v>6051486088.2499962</v>
      </c>
      <c r="H19" s="4"/>
      <c r="I19"/>
      <c r="J19"/>
      <c r="K19"/>
      <c r="L19"/>
    </row>
    <row r="20" spans="1:12">
      <c r="A20" s="677">
        <f t="shared" si="0"/>
        <v>11</v>
      </c>
      <c r="B20" s="697" t="s">
        <v>560</v>
      </c>
      <c r="C20" s="723">
        <v>6077718647.3609962</v>
      </c>
      <c r="D20" s="723"/>
      <c r="E20" s="723">
        <v>-3463212.63</v>
      </c>
      <c r="F20" s="723">
        <v>10180535.449999999</v>
      </c>
      <c r="G20" s="724">
        <f t="shared" si="1"/>
        <v>6071001324.5409966</v>
      </c>
      <c r="H20" s="4"/>
      <c r="I20"/>
      <c r="J20"/>
      <c r="K20"/>
      <c r="L20"/>
    </row>
    <row r="21" spans="1:12">
      <c r="A21" s="677">
        <f t="shared" si="0"/>
        <v>12</v>
      </c>
      <c r="B21" s="697" t="s">
        <v>561</v>
      </c>
      <c r="C21" s="723">
        <v>6124555835.1090002</v>
      </c>
      <c r="D21" s="723"/>
      <c r="E21" s="723">
        <v>-3463212.63</v>
      </c>
      <c r="F21" s="723">
        <v>10111627.390000001</v>
      </c>
      <c r="G21" s="724">
        <f t="shared" si="1"/>
        <v>6117907420.349</v>
      </c>
      <c r="H21" s="4"/>
      <c r="I21"/>
      <c r="J21"/>
      <c r="K21"/>
      <c r="L21"/>
    </row>
    <row r="22" spans="1:12">
      <c r="A22" s="676">
        <f t="shared" si="0"/>
        <v>13</v>
      </c>
      <c r="B22" s="696" t="s">
        <v>631</v>
      </c>
      <c r="C22" s="723">
        <v>6179996357.9329987</v>
      </c>
      <c r="D22" s="723"/>
      <c r="E22" s="723">
        <v>-3463212.63</v>
      </c>
      <c r="F22" s="723">
        <v>23652748.389999997</v>
      </c>
      <c r="G22" s="724">
        <f t="shared" si="1"/>
        <v>6159806822.1729984</v>
      </c>
      <c r="H22" s="4"/>
      <c r="I22"/>
      <c r="J22"/>
      <c r="K22"/>
      <c r="L22"/>
    </row>
    <row r="23" spans="1:12" ht="13.5" thickBot="1">
      <c r="A23" s="695">
        <f t="shared" si="0"/>
        <v>14</v>
      </c>
      <c r="B23" s="694" t="s">
        <v>858</v>
      </c>
      <c r="C23" s="673">
        <f>SUM(C10:C22)/13</f>
        <v>5965012867.7912292</v>
      </c>
      <c r="D23" s="672">
        <f>SUM(D10:D22)/13</f>
        <v>0</v>
      </c>
      <c r="E23" s="672">
        <f>SUM(E10:E22)/13</f>
        <v>-3463212.6300000004</v>
      </c>
      <c r="F23" s="672">
        <f>SUM(F10:F22)/13</f>
        <v>11639428.238461537</v>
      </c>
      <c r="G23" s="725">
        <f>SUM(G10:G22)/13</f>
        <v>5956836652.1827688</v>
      </c>
      <c r="H23" s="4"/>
      <c r="I23"/>
      <c r="J23"/>
      <c r="K23"/>
      <c r="L23"/>
    </row>
    <row r="24" spans="1:12" ht="13.5" thickTop="1">
      <c r="A24" s="78"/>
      <c r="B24" s="671"/>
      <c r="C24" s="692"/>
      <c r="D24" s="670"/>
      <c r="E24" s="670"/>
      <c r="F24" s="670"/>
      <c r="G24" s="692"/>
      <c r="H24" s="692"/>
      <c r="I24"/>
      <c r="J24"/>
      <c r="K24"/>
      <c r="L24"/>
    </row>
    <row r="25" spans="1:12" ht="12.75" customHeight="1">
      <c r="A25" s="78"/>
      <c r="B25" s="702"/>
      <c r="C25" s="1314" t="s">
        <v>682</v>
      </c>
      <c r="D25" s="1315"/>
      <c r="E25" s="1315"/>
      <c r="F25" s="1315"/>
      <c r="G25" s="1315"/>
      <c r="H25" s="1316"/>
      <c r="I25"/>
      <c r="J25"/>
      <c r="K25"/>
      <c r="L25"/>
    </row>
    <row r="26" spans="1:12" s="719" customFormat="1" ht="38.25">
      <c r="A26" s="701" t="s">
        <v>647</v>
      </c>
      <c r="B26" s="700" t="s">
        <v>646</v>
      </c>
      <c r="C26" s="686" t="s">
        <v>694</v>
      </c>
      <c r="D26" s="685" t="s">
        <v>693</v>
      </c>
      <c r="E26" s="685" t="s">
        <v>692</v>
      </c>
      <c r="F26" s="685" t="s">
        <v>691</v>
      </c>
      <c r="G26" s="685" t="s">
        <v>683</v>
      </c>
      <c r="H26" s="718" t="s">
        <v>627</v>
      </c>
      <c r="I26"/>
      <c r="J26"/>
      <c r="K26"/>
      <c r="L26"/>
    </row>
    <row r="27" spans="1:12" s="721" customFormat="1">
      <c r="A27" s="677"/>
      <c r="B27" s="682" t="s">
        <v>641</v>
      </c>
      <c r="C27" s="683" t="s">
        <v>640</v>
      </c>
      <c r="D27" s="681" t="s">
        <v>639</v>
      </c>
      <c r="E27" s="681" t="s">
        <v>638</v>
      </c>
      <c r="F27" s="681" t="s">
        <v>637</v>
      </c>
      <c r="G27" s="681" t="s">
        <v>659</v>
      </c>
      <c r="H27" s="720" t="s">
        <v>684</v>
      </c>
      <c r="I27"/>
      <c r="J27"/>
      <c r="K27"/>
      <c r="L27"/>
    </row>
    <row r="28" spans="1:12" s="721" customFormat="1" ht="44.25" customHeight="1">
      <c r="A28" s="677"/>
      <c r="B28" s="682" t="s">
        <v>636</v>
      </c>
      <c r="C28" s="722" t="s">
        <v>685</v>
      </c>
      <c r="D28" s="699" t="s">
        <v>686</v>
      </c>
      <c r="E28" s="699" t="s">
        <v>687</v>
      </c>
      <c r="F28" s="699" t="s">
        <v>688</v>
      </c>
      <c r="G28" s="699" t="s">
        <v>689</v>
      </c>
      <c r="H28" s="726"/>
      <c r="I28"/>
      <c r="J28"/>
      <c r="K28"/>
      <c r="L28"/>
    </row>
    <row r="29" spans="1:12">
      <c r="A29" s="677">
        <f>+A23+1</f>
        <v>15</v>
      </c>
      <c r="B29" s="698" t="s">
        <v>634</v>
      </c>
      <c r="C29" s="723">
        <v>120339772.98999999</v>
      </c>
      <c r="D29" s="723">
        <v>0</v>
      </c>
      <c r="E29" s="723"/>
      <c r="F29" s="723">
        <v>5582572682.2299995</v>
      </c>
      <c r="G29" s="723"/>
      <c r="H29" s="724">
        <f t="shared" ref="H29:H41" si="2">+C29-D29+E29+F29-G29</f>
        <v>5702912455.2199993</v>
      </c>
      <c r="I29"/>
      <c r="J29"/>
      <c r="K29"/>
      <c r="L29"/>
    </row>
    <row r="30" spans="1:12">
      <c r="A30" s="677">
        <f t="shared" ref="A30:A42" si="3">+A29+1</f>
        <v>16</v>
      </c>
      <c r="B30" s="698" t="s">
        <v>185</v>
      </c>
      <c r="C30" s="723">
        <v>120339772.98999999</v>
      </c>
      <c r="D30" s="723">
        <v>0</v>
      </c>
      <c r="E30" s="723"/>
      <c r="F30" s="723">
        <v>5582561175.5</v>
      </c>
      <c r="G30" s="723"/>
      <c r="H30" s="724">
        <f t="shared" si="2"/>
        <v>5702900948.4899998</v>
      </c>
      <c r="I30"/>
      <c r="J30"/>
      <c r="K30"/>
      <c r="L30"/>
    </row>
    <row r="31" spans="1:12">
      <c r="A31" s="677">
        <f t="shared" si="3"/>
        <v>17</v>
      </c>
      <c r="B31" s="697" t="s">
        <v>559</v>
      </c>
      <c r="C31" s="723">
        <v>106405430.98999999</v>
      </c>
      <c r="D31" s="723">
        <v>0</v>
      </c>
      <c r="E31" s="723"/>
      <c r="F31" s="723">
        <v>5582549536.7699995</v>
      </c>
      <c r="G31" s="723"/>
      <c r="H31" s="724">
        <f t="shared" si="2"/>
        <v>5688954967.7599993</v>
      </c>
      <c r="I31"/>
      <c r="J31"/>
      <c r="K31"/>
      <c r="L31"/>
    </row>
    <row r="32" spans="1:12">
      <c r="A32" s="677">
        <f t="shared" si="3"/>
        <v>18</v>
      </c>
      <c r="B32" s="697" t="s">
        <v>633</v>
      </c>
      <c r="C32" s="723">
        <v>106405430.98999999</v>
      </c>
      <c r="D32" s="723">
        <v>0</v>
      </c>
      <c r="E32" s="723"/>
      <c r="F32" s="723">
        <v>5582537765.04</v>
      </c>
      <c r="G32" s="723"/>
      <c r="H32" s="724">
        <f t="shared" si="2"/>
        <v>5688943196.0299997</v>
      </c>
      <c r="I32"/>
      <c r="J32"/>
      <c r="K32"/>
      <c r="L32"/>
    </row>
    <row r="33" spans="1:12">
      <c r="A33" s="677">
        <f t="shared" si="3"/>
        <v>19</v>
      </c>
      <c r="B33" s="697" t="s">
        <v>187</v>
      </c>
      <c r="C33" s="723">
        <v>106405430.98999999</v>
      </c>
      <c r="D33" s="723">
        <v>0</v>
      </c>
      <c r="E33" s="723"/>
      <c r="F33" s="723">
        <v>5582525858.3099995</v>
      </c>
      <c r="G33" s="723"/>
      <c r="H33" s="724">
        <f t="shared" si="2"/>
        <v>5688931289.2999992</v>
      </c>
      <c r="I33"/>
      <c r="J33"/>
      <c r="K33"/>
      <c r="L33"/>
    </row>
    <row r="34" spans="1:12">
      <c r="A34" s="677">
        <f t="shared" si="3"/>
        <v>20</v>
      </c>
      <c r="B34" s="697" t="s">
        <v>188</v>
      </c>
      <c r="C34" s="723">
        <v>106405430.98999999</v>
      </c>
      <c r="D34" s="723">
        <v>0</v>
      </c>
      <c r="E34" s="723"/>
      <c r="F34" s="723">
        <v>6007513815.5799999</v>
      </c>
      <c r="G34" s="723"/>
      <c r="H34" s="724">
        <f t="shared" si="2"/>
        <v>6113919246.5699997</v>
      </c>
      <c r="I34"/>
      <c r="J34"/>
      <c r="K34"/>
      <c r="L34"/>
    </row>
    <row r="35" spans="1:12">
      <c r="A35" s="677">
        <f t="shared" si="3"/>
        <v>21</v>
      </c>
      <c r="B35" s="697" t="s">
        <v>382</v>
      </c>
      <c r="C35" s="723">
        <v>106405430.98999999</v>
      </c>
      <c r="D35" s="723">
        <v>0</v>
      </c>
      <c r="E35" s="723"/>
      <c r="F35" s="723">
        <v>5707501635.8499994</v>
      </c>
      <c r="G35" s="723"/>
      <c r="H35" s="724">
        <f t="shared" si="2"/>
        <v>5813907066.8399992</v>
      </c>
      <c r="I35"/>
      <c r="J35"/>
      <c r="K35"/>
      <c r="L35"/>
    </row>
    <row r="36" spans="1:12">
      <c r="A36" s="677">
        <f t="shared" si="3"/>
        <v>22</v>
      </c>
      <c r="B36" s="697" t="s">
        <v>189</v>
      </c>
      <c r="C36" s="723">
        <v>106405430.98999999</v>
      </c>
      <c r="D36" s="723">
        <v>0</v>
      </c>
      <c r="E36" s="723"/>
      <c r="F36" s="723">
        <v>5707489316.1199999</v>
      </c>
      <c r="G36" s="723"/>
      <c r="H36" s="724">
        <f t="shared" si="2"/>
        <v>5813894747.1099997</v>
      </c>
      <c r="I36"/>
      <c r="J36"/>
      <c r="K36"/>
      <c r="L36"/>
    </row>
    <row r="37" spans="1:12">
      <c r="A37" s="677">
        <f t="shared" si="3"/>
        <v>23</v>
      </c>
      <c r="B37" s="697" t="s">
        <v>632</v>
      </c>
      <c r="C37" s="723">
        <v>91919424.99000001</v>
      </c>
      <c r="D37" s="723">
        <v>0</v>
      </c>
      <c r="E37" s="723"/>
      <c r="F37" s="723">
        <v>5707476856.3899994</v>
      </c>
      <c r="G37" s="723"/>
      <c r="H37" s="724">
        <f t="shared" si="2"/>
        <v>5799396281.3799992</v>
      </c>
      <c r="I37"/>
      <c r="J37"/>
      <c r="K37"/>
      <c r="L37"/>
    </row>
    <row r="38" spans="1:12">
      <c r="A38" s="677">
        <f t="shared" si="3"/>
        <v>24</v>
      </c>
      <c r="B38" s="697" t="s">
        <v>192</v>
      </c>
      <c r="C38" s="723">
        <v>91919424.99000001</v>
      </c>
      <c r="D38" s="723">
        <v>0</v>
      </c>
      <c r="E38" s="723"/>
      <c r="F38" s="723">
        <v>5707464253.6599998</v>
      </c>
      <c r="G38" s="723"/>
      <c r="H38" s="724">
        <f t="shared" si="2"/>
        <v>5799383678.6499996</v>
      </c>
      <c r="I38"/>
      <c r="J38"/>
      <c r="K38"/>
      <c r="L38"/>
    </row>
    <row r="39" spans="1:12">
      <c r="A39" s="677">
        <f t="shared" si="3"/>
        <v>25</v>
      </c>
      <c r="B39" s="697" t="s">
        <v>560</v>
      </c>
      <c r="C39" s="723">
        <v>91919424.99000001</v>
      </c>
      <c r="D39" s="723">
        <v>0</v>
      </c>
      <c r="E39" s="723"/>
      <c r="F39" s="723">
        <v>5707451506.9299994</v>
      </c>
      <c r="G39" s="723"/>
      <c r="H39" s="724">
        <f t="shared" si="2"/>
        <v>5799370931.9199991</v>
      </c>
      <c r="I39"/>
      <c r="J39"/>
      <c r="K39"/>
      <c r="L39"/>
    </row>
    <row r="40" spans="1:12">
      <c r="A40" s="677">
        <f t="shared" si="3"/>
        <v>26</v>
      </c>
      <c r="B40" s="697" t="s">
        <v>561</v>
      </c>
      <c r="C40" s="723">
        <v>91919424.99000001</v>
      </c>
      <c r="D40" s="723">
        <v>0</v>
      </c>
      <c r="E40" s="723"/>
      <c r="F40" s="723">
        <v>6257438614.1999998</v>
      </c>
      <c r="G40" s="723"/>
      <c r="H40" s="724">
        <f t="shared" si="2"/>
        <v>6349358039.1899996</v>
      </c>
      <c r="I40"/>
      <c r="J40"/>
      <c r="K40"/>
      <c r="L40"/>
    </row>
    <row r="41" spans="1:12">
      <c r="A41" s="676">
        <f t="shared" si="3"/>
        <v>27</v>
      </c>
      <c r="B41" s="696" t="s">
        <v>631</v>
      </c>
      <c r="C41" s="723">
        <v>91919424.99000001</v>
      </c>
      <c r="D41" s="723">
        <v>50000000</v>
      </c>
      <c r="E41" s="723"/>
      <c r="F41" s="723">
        <v>6257425574.4699993</v>
      </c>
      <c r="G41" s="723"/>
      <c r="H41" s="724">
        <f t="shared" si="2"/>
        <v>6299344999.4599991</v>
      </c>
      <c r="I41"/>
      <c r="J41"/>
      <c r="K41"/>
      <c r="L41"/>
    </row>
    <row r="42" spans="1:12" ht="13.5" thickBot="1">
      <c r="A42" s="695">
        <f t="shared" si="3"/>
        <v>28</v>
      </c>
      <c r="B42" s="694" t="s">
        <v>858</v>
      </c>
      <c r="C42" s="673">
        <f t="shared" ref="C42:H42" si="4">SUM(C29:C41)/13</f>
        <v>102977635.14384614</v>
      </c>
      <c r="D42" s="672">
        <f t="shared" si="4"/>
        <v>3846153.846153846</v>
      </c>
      <c r="E42" s="672">
        <f t="shared" si="4"/>
        <v>0</v>
      </c>
      <c r="F42" s="672">
        <f t="shared" si="4"/>
        <v>5767116045.4653835</v>
      </c>
      <c r="G42" s="672">
        <f t="shared" si="4"/>
        <v>0</v>
      </c>
      <c r="H42" s="725">
        <f t="shared" si="4"/>
        <v>5866247526.7630758</v>
      </c>
      <c r="I42"/>
      <c r="J42"/>
      <c r="K42"/>
      <c r="L42"/>
    </row>
    <row r="43" spans="1:12" ht="13.5" thickTop="1">
      <c r="A43" s="713"/>
      <c r="B43" s="727"/>
      <c r="C43" s="728"/>
      <c r="D43" s="729"/>
      <c r="E43" s="729"/>
      <c r="F43" s="729"/>
      <c r="G43" s="728"/>
      <c r="H43" s="728"/>
      <c r="I43"/>
      <c r="J43"/>
      <c r="K43"/>
      <c r="L43"/>
    </row>
    <row r="44" spans="1:12" ht="12.75" customHeight="1">
      <c r="A44" s="730" t="s">
        <v>690</v>
      </c>
      <c r="F44" s="409"/>
      <c r="G44" s="409"/>
      <c r="H44" s="409"/>
      <c r="I44"/>
      <c r="J44"/>
      <c r="K44"/>
    </row>
    <row r="45" spans="1:12">
      <c r="E45" s="409"/>
      <c r="F45" s="409"/>
      <c r="G45" s="409"/>
      <c r="H45" s="409"/>
      <c r="J45" s="727"/>
    </row>
    <row r="46" spans="1:12" ht="15">
      <c r="A46" s="732" t="s">
        <v>7</v>
      </c>
      <c r="E46" s="409"/>
      <c r="F46" s="409"/>
      <c r="G46" s="409"/>
      <c r="H46" s="78"/>
    </row>
    <row r="47" spans="1:12" ht="15">
      <c r="A47" s="732"/>
      <c r="B47" s="733" t="s">
        <v>641</v>
      </c>
      <c r="C47" s="733" t="s">
        <v>640</v>
      </c>
      <c r="D47" s="734" t="s">
        <v>639</v>
      </c>
      <c r="E47" s="733" t="s">
        <v>638</v>
      </c>
      <c r="F47" s="734" t="s">
        <v>637</v>
      </c>
      <c r="G47" s="733" t="s">
        <v>659</v>
      </c>
      <c r="H47" s="733" t="s">
        <v>660</v>
      </c>
    </row>
    <row r="48" spans="1:12">
      <c r="A48" s="459">
        <f>+A42+1</f>
        <v>29</v>
      </c>
      <c r="B48" s="735" t="str">
        <f>"Annual Interest Expense for "&amp;TCOS!L4</f>
        <v>Annual Interest Expense for 2025</v>
      </c>
      <c r="C48" s="736"/>
      <c r="D48" s="737"/>
      <c r="E48" s="738"/>
      <c r="F48" s="738"/>
      <c r="G48" s="738"/>
      <c r="H48" s="738"/>
      <c r="I48" s="738"/>
      <c r="J48" s="738"/>
      <c r="K48" s="738"/>
      <c r="L48" s="738"/>
    </row>
    <row r="49" spans="1:12">
      <c r="A49" s="459">
        <f t="shared" ref="A49:A56" si="5">+A48+1</f>
        <v>30</v>
      </c>
      <c r="B49" s="844" t="s">
        <v>762</v>
      </c>
      <c r="C49" s="736"/>
      <c r="D49" s="737"/>
      <c r="E49" s="740">
        <v>273224864.76999998</v>
      </c>
      <c r="F49" s="738"/>
      <c r="G49" s="738"/>
      <c r="H49" s="738"/>
      <c r="I49" s="738"/>
      <c r="J49" s="738"/>
      <c r="K49" s="738"/>
      <c r="L49" s="738"/>
    </row>
    <row r="50" spans="1:12" ht="28.5" customHeight="1">
      <c r="A50" s="459">
        <f t="shared" si="5"/>
        <v>31</v>
      </c>
      <c r="B50" s="1306" t="str">
        <f>"Less: Total Hedge Gain/Expense Accumulated from p 256-257, col. (i) of FERC Form 1  included in Ln "&amp;A49&amp;" and shown in "&amp;A74&amp;" below."</f>
        <v>Less: Total Hedge Gain/Expense Accumulated from p 256-257, col. (i) of FERC Form 1  included in Ln 30 and shown in 50 below.</v>
      </c>
      <c r="C50" s="1307"/>
      <c r="D50" s="737"/>
      <c r="E50" s="736">
        <f>+C74</f>
        <v>-1056830.8908860749</v>
      </c>
      <c r="F50" s="738"/>
      <c r="G50" s="738"/>
      <c r="H50" s="738"/>
      <c r="I50" s="738"/>
      <c r="J50" s="738"/>
      <c r="K50" s="738"/>
      <c r="L50" s="738"/>
    </row>
    <row r="51" spans="1:12" ht="16.5" customHeight="1">
      <c r="A51" s="459">
        <f t="shared" si="5"/>
        <v>32</v>
      </c>
      <c r="B51" s="741" t="str">
        <f>"Plus:  Allowed Hedge Recovery From Ln "&amp;A80&amp;"  below."</f>
        <v>Plus:  Allowed Hedge Recovery From Ln 55  below.</v>
      </c>
      <c r="C51" s="845"/>
      <c r="D51" s="737"/>
      <c r="E51" s="742">
        <f>+E80</f>
        <v>-1056830.8908860749</v>
      </c>
      <c r="F51" s="738"/>
      <c r="G51" s="738"/>
      <c r="H51" s="738"/>
      <c r="I51" s="738"/>
      <c r="J51" s="738"/>
      <c r="K51" s="738"/>
      <c r="L51" s="738"/>
    </row>
    <row r="52" spans="1:12">
      <c r="A52" s="459">
        <f t="shared" si="5"/>
        <v>33</v>
      </c>
      <c r="B52" s="844" t="s">
        <v>763</v>
      </c>
      <c r="C52" s="738"/>
      <c r="D52" s="738"/>
      <c r="E52" s="740">
        <v>4650085.6399999997</v>
      </c>
      <c r="F52" s="738"/>
      <c r="G52" s="738"/>
      <c r="H52" s="738"/>
      <c r="I52" s="738"/>
      <c r="J52" s="738"/>
    </row>
    <row r="53" spans="1:12">
      <c r="A53" s="459">
        <f t="shared" si="5"/>
        <v>34</v>
      </c>
      <c r="B53" s="844" t="s">
        <v>764</v>
      </c>
      <c r="C53" s="743"/>
      <c r="D53" s="737"/>
      <c r="E53" s="740">
        <v>3545392.09</v>
      </c>
      <c r="F53" s="738"/>
      <c r="G53" s="738"/>
      <c r="H53" s="738"/>
      <c r="I53" s="738"/>
      <c r="J53" s="738"/>
    </row>
    <row r="54" spans="1:12">
      <c r="A54" s="459">
        <f t="shared" si="5"/>
        <v>35</v>
      </c>
      <c r="B54" s="844" t="s">
        <v>765</v>
      </c>
      <c r="C54" s="743"/>
      <c r="D54" s="737"/>
      <c r="E54" s="740"/>
      <c r="F54" s="738"/>
      <c r="G54" s="738"/>
      <c r="H54" s="738"/>
      <c r="I54" s="738"/>
      <c r="J54" s="738"/>
    </row>
    <row r="55" spans="1:12" ht="13.5" thickBot="1">
      <c r="A55" s="459">
        <f t="shared" si="5"/>
        <v>36</v>
      </c>
      <c r="B55" s="844" t="s">
        <v>766</v>
      </c>
      <c r="C55" s="743"/>
      <c r="D55" s="737"/>
      <c r="E55" s="744"/>
      <c r="F55" s="738"/>
      <c r="G55" s="738"/>
      <c r="H55" s="738"/>
      <c r="I55" s="738"/>
      <c r="J55" s="738"/>
    </row>
    <row r="56" spans="1:12">
      <c r="A56" s="459">
        <f t="shared" si="5"/>
        <v>37</v>
      </c>
      <c r="B56" s="735" t="str">
        <f>"Total Interest Expense (Ln "&amp;A49&amp;" - "&amp;A50&amp;" + "&amp;A51&amp;" + "&amp;A52&amp;" + "&amp;A53&amp;" - "&amp;A54&amp;" - "&amp;A55&amp;")"</f>
        <v>Total Interest Expense (Ln 30 - 31 + 32 + 33 + 34 - 35 - 36)</v>
      </c>
      <c r="C56" s="745"/>
      <c r="D56" s="746"/>
      <c r="E56" s="747">
        <f>+E49-E50+E51+E52+E53-E54-E55</f>
        <v>281420342.49999994</v>
      </c>
      <c r="F56" s="738"/>
      <c r="G56" s="738"/>
      <c r="H56" s="738"/>
      <c r="I56" s="738"/>
      <c r="J56" s="738"/>
    </row>
    <row r="57" spans="1:12" ht="13.5" thickBot="1">
      <c r="A57" s="459"/>
      <c r="B57" s="739"/>
      <c r="C57" s="743"/>
      <c r="D57" s="737"/>
      <c r="E57" s="747"/>
      <c r="F57" s="738"/>
      <c r="G57" s="738"/>
      <c r="H57" s="738"/>
      <c r="I57" s="738"/>
      <c r="J57" s="738"/>
    </row>
    <row r="58" spans="1:12" ht="13.5" thickBot="1">
      <c r="A58" s="459">
        <f>+A56+1</f>
        <v>38</v>
      </c>
      <c r="B58" s="735" t="str">
        <f>"Average Cost of Debt for "&amp;TCOS!L4&amp;" (Ln "&amp;A56&amp;"/ ln "&amp;A42&amp;" (g))"</f>
        <v>Average Cost of Debt for 2025 (Ln 37/ ln 28 (g))</v>
      </c>
      <c r="C58" s="745"/>
      <c r="D58" s="737"/>
      <c r="E58" s="748">
        <f>+E56/H42</f>
        <v>4.7972803945980823E-2</v>
      </c>
      <c r="F58" s="738"/>
      <c r="G58" s="738"/>
      <c r="H58" s="738"/>
      <c r="I58" s="738"/>
      <c r="J58" s="738"/>
    </row>
    <row r="59" spans="1:12">
      <c r="A59" s="749"/>
      <c r="B59" s="739"/>
      <c r="C59" s="743"/>
      <c r="D59" s="737"/>
      <c r="E59" s="743"/>
      <c r="F59" s="738"/>
      <c r="G59" s="738"/>
      <c r="H59" s="738"/>
      <c r="I59" s="738"/>
      <c r="J59" s="738"/>
    </row>
    <row r="60" spans="1:12" s="750" customFormat="1" ht="28.5" customHeight="1">
      <c r="A60" s="555"/>
      <c r="B60" s="1308" t="s">
        <v>0</v>
      </c>
      <c r="C60" s="1308"/>
      <c r="D60" s="1308"/>
      <c r="E60" s="1308"/>
      <c r="F60" s="556"/>
    </row>
    <row r="61" spans="1:12" s="750" customFormat="1" ht="107.25" customHeight="1">
      <c r="A61" s="557">
        <f>+A58+1</f>
        <v>39</v>
      </c>
      <c r="B61" s="1309" t="s">
        <v>312</v>
      </c>
      <c r="C61" s="1288"/>
      <c r="D61" s="1288"/>
      <c r="E61" s="1288"/>
      <c r="F61" s="409"/>
    </row>
    <row r="62" spans="1:12" s="750" customFormat="1" ht="12" customHeight="1">
      <c r="A62" s="555"/>
      <c r="B62" s="558"/>
      <c r="C62" s="558"/>
      <c r="D62" s="558"/>
      <c r="E62" s="558"/>
      <c r="G62" s="1310" t="s">
        <v>232</v>
      </c>
      <c r="H62" s="1310"/>
    </row>
    <row r="63" spans="1:12" s="750" customFormat="1" ht="52.5" customHeight="1">
      <c r="A63" s="417"/>
      <c r="B63" s="1098" t="s">
        <v>359</v>
      </c>
      <c r="C63" s="751" t="str">
        <f>"Total Hedge (Gain)/Loss for "&amp;TCOS!L4</f>
        <v>Total Hedge (Gain)/Loss for 2025</v>
      </c>
      <c r="D63" s="751" t="str">
        <f>"Less Excludable Amounts (See NOTE on Line "&amp;A61&amp;")"</f>
        <v>Less Excludable Amounts (See NOTE on Line 39)</v>
      </c>
      <c r="E63" s="751" t="s">
        <v>1</v>
      </c>
      <c r="F63" s="751" t="s">
        <v>231</v>
      </c>
      <c r="G63" s="751" t="s">
        <v>283</v>
      </c>
      <c r="H63" s="751" t="s">
        <v>285</v>
      </c>
    </row>
    <row r="64" spans="1:12" s="750" customFormat="1" ht="12.75" customHeight="1">
      <c r="A64" s="417">
        <f>+A61+1</f>
        <v>40</v>
      </c>
      <c r="B64" s="1099" t="s">
        <v>1525</v>
      </c>
      <c r="C64" s="1100">
        <v>37071.109113924089</v>
      </c>
      <c r="D64" s="1100"/>
      <c r="E64" s="752">
        <f>+C64-D64</f>
        <v>37071.109113924089</v>
      </c>
      <c r="F64" s="1100">
        <v>271856.67088607594</v>
      </c>
      <c r="G64" s="1101">
        <v>37742</v>
      </c>
      <c r="H64" s="1101">
        <v>48700</v>
      </c>
      <c r="I64"/>
      <c r="J64"/>
    </row>
    <row r="65" spans="1:8" s="750" customFormat="1" ht="12.75" customHeight="1">
      <c r="A65" s="417">
        <f t="shared" ref="A65:A74" si="6">+A64+1</f>
        <v>41</v>
      </c>
      <c r="B65" s="1099" t="s">
        <v>1526</v>
      </c>
      <c r="C65" s="1100">
        <v>-194198</v>
      </c>
      <c r="D65" s="1100"/>
      <c r="E65" s="752">
        <f>+C65-D65</f>
        <v>-194198</v>
      </c>
      <c r="F65" s="1100">
        <v>-1990535.2199999997</v>
      </c>
      <c r="G65" s="1101">
        <v>38808</v>
      </c>
      <c r="H65" s="1101">
        <v>49766</v>
      </c>
    </row>
    <row r="66" spans="1:8" s="750" customFormat="1" ht="12.75" customHeight="1">
      <c r="A66" s="417">
        <f t="shared" si="6"/>
        <v>42</v>
      </c>
      <c r="B66" s="1099" t="s">
        <v>1527</v>
      </c>
      <c r="C66" s="1100">
        <v>159671</v>
      </c>
      <c r="D66" s="1100"/>
      <c r="E66" s="752">
        <f>+C66-D66</f>
        <v>159671</v>
      </c>
      <c r="F66" s="1100">
        <v>1949310.1800000002</v>
      </c>
      <c r="G66" s="1101">
        <v>39508</v>
      </c>
      <c r="H66" s="1101">
        <v>50496</v>
      </c>
    </row>
    <row r="67" spans="1:8" s="750" customFormat="1" ht="12.75" customHeight="1">
      <c r="A67" s="417">
        <f t="shared" si="6"/>
        <v>43</v>
      </c>
      <c r="B67" s="1099" t="s">
        <v>1528</v>
      </c>
      <c r="C67" s="1100">
        <v>-1059374.9999999991</v>
      </c>
      <c r="D67" s="1100"/>
      <c r="E67" s="752">
        <f>+C67-D67</f>
        <v>-1059374.9999999991</v>
      </c>
      <c r="F67" s="1100">
        <v>-5501909.7500000009</v>
      </c>
      <c r="G67" s="1101">
        <v>44286</v>
      </c>
      <c r="H67" s="1101">
        <v>47938</v>
      </c>
    </row>
    <row r="68" spans="1:8" s="750" customFormat="1" ht="12.75" customHeight="1">
      <c r="A68" s="417">
        <f t="shared" si="6"/>
        <v>44</v>
      </c>
      <c r="B68" s="1099"/>
      <c r="C68" s="1100"/>
      <c r="D68" s="1100"/>
      <c r="E68" s="752"/>
      <c r="F68" s="1100"/>
      <c r="G68" s="1101"/>
      <c r="H68" s="1101"/>
    </row>
    <row r="69" spans="1:8" s="750" customFormat="1" ht="12.75" customHeight="1">
      <c r="A69" s="417">
        <f t="shared" si="6"/>
        <v>45</v>
      </c>
      <c r="B69" s="1099"/>
      <c r="C69" s="1100"/>
      <c r="D69" s="1100"/>
      <c r="E69" s="752"/>
      <c r="F69" s="1100"/>
      <c r="G69" s="1101"/>
      <c r="H69" s="1101"/>
    </row>
    <row r="70" spans="1:8" s="750" customFormat="1" ht="12.75" customHeight="1">
      <c r="A70" s="417">
        <f t="shared" si="6"/>
        <v>46</v>
      </c>
      <c r="B70" s="1099"/>
      <c r="C70" s="1100"/>
      <c r="D70" s="1100"/>
      <c r="E70" s="752"/>
      <c r="F70" s="1100"/>
      <c r="G70" s="1101"/>
      <c r="H70" s="1101"/>
    </row>
    <row r="71" spans="1:8" s="750" customFormat="1" ht="12.75" customHeight="1">
      <c r="A71" s="417">
        <f t="shared" si="6"/>
        <v>47</v>
      </c>
      <c r="B71" s="1099"/>
      <c r="C71" s="1100"/>
      <c r="D71" s="1100"/>
      <c r="E71" s="752"/>
      <c r="F71" s="1100"/>
      <c r="G71" s="1101"/>
      <c r="H71" s="1101"/>
    </row>
    <row r="72" spans="1:8" s="750" customFormat="1" ht="12.75" customHeight="1">
      <c r="A72" s="417">
        <f t="shared" si="6"/>
        <v>48</v>
      </c>
      <c r="B72" s="1099"/>
      <c r="C72" s="1100"/>
      <c r="D72" s="1100"/>
      <c r="E72" s="752"/>
      <c r="F72" s="1100"/>
      <c r="G72" s="1101"/>
      <c r="H72" s="1101"/>
    </row>
    <row r="73" spans="1:8" s="750" customFormat="1" ht="12.75" customHeight="1">
      <c r="A73" s="417">
        <f t="shared" si="6"/>
        <v>49</v>
      </c>
      <c r="B73" s="4"/>
      <c r="C73" s="753"/>
      <c r="D73" s="753"/>
      <c r="E73" s="754"/>
      <c r="F73" s="754"/>
    </row>
    <row r="74" spans="1:8" s="750" customFormat="1" ht="12.75" customHeight="1">
      <c r="A74" s="417">
        <f t="shared" si="6"/>
        <v>50</v>
      </c>
      <c r="B74" s="739" t="s">
        <v>8</v>
      </c>
      <c r="C74" s="747">
        <f>SUM(C64:C72)</f>
        <v>-1056830.8908860749</v>
      </c>
      <c r="D74" s="747">
        <f>SUM(D64:D72)</f>
        <v>0</v>
      </c>
      <c r="F74" s="752">
        <f>SUM(F64:F72)</f>
        <v>-5271278.119113924</v>
      </c>
    </row>
    <row r="75" spans="1:8" s="750" customFormat="1" ht="21" customHeight="1">
      <c r="A75" s="417"/>
      <c r="B75" s="739"/>
      <c r="C75" s="747"/>
      <c r="D75" s="747"/>
      <c r="E75" s="747"/>
    </row>
    <row r="76" spans="1:8" s="750" customFormat="1" ht="14.25" customHeight="1">
      <c r="A76" s="417">
        <f>+A74+1</f>
        <v>51</v>
      </c>
      <c r="B76" s="739" t="str">
        <f>"Hedge Gain or Loss Prior to Application of Recovery Limit (Sum of Lines "&amp;A64&amp;" to "&amp;A72&amp;")"</f>
        <v>Hedge Gain or Loss Prior to Application of Recovery Limit (Sum of Lines 40 to 48)</v>
      </c>
      <c r="C76" s="747"/>
      <c r="D76" s="747"/>
      <c r="E76" s="747">
        <f>SUM(E64:E72)</f>
        <v>-1056830.8908860749</v>
      </c>
    </row>
    <row r="77" spans="1:8" s="750" customFormat="1" ht="12.75" customHeight="1">
      <c r="A77" s="417">
        <f>+A76+1</f>
        <v>52</v>
      </c>
      <c r="B77" s="755" t="str">
        <f>"Total Average Capital Structure Balance for "&amp;TCOS!L4&amp;" (TCOS, Ln "&amp;TCOS!B274&amp;")"</f>
        <v>Total Average Capital Structure Balance for 2025 (TCOS, Ln 157)</v>
      </c>
      <c r="C77" s="743"/>
      <c r="D77" s="737"/>
      <c r="E77" s="756">
        <f>TCOS!G274</f>
        <v>11823084178.945843</v>
      </c>
      <c r="H77" s="752"/>
    </row>
    <row r="78" spans="1:8" s="750" customFormat="1" ht="12.75" customHeight="1">
      <c r="A78" s="417">
        <f>+A77+1</f>
        <v>53</v>
      </c>
      <c r="B78" s="739" t="s">
        <v>489</v>
      </c>
      <c r="C78" s="743"/>
      <c r="D78" s="737"/>
      <c r="E78" s="757">
        <v>5.0000000000000001E-4</v>
      </c>
      <c r="G78" s="758"/>
    </row>
    <row r="79" spans="1:8" s="750" customFormat="1" ht="12.75" customHeight="1" thickBot="1">
      <c r="A79" s="417">
        <f>+A78+1</f>
        <v>54</v>
      </c>
      <c r="B79" s="739" t="s">
        <v>490</v>
      </c>
      <c r="C79" s="743"/>
      <c r="D79" s="737"/>
      <c r="E79" s="759">
        <f>+E77*E78</f>
        <v>5911542.0894729216</v>
      </c>
    </row>
    <row r="80" spans="1:8" s="750" customFormat="1" ht="12.75" customHeight="1" thickBot="1">
      <c r="A80" s="417">
        <f>+A79+1</f>
        <v>55</v>
      </c>
      <c r="B80" s="735" t="str">
        <f>"Recoverable Hedge Amortization (Lesser of Ln "&amp;A76&amp;" or Ln "&amp;A79&amp;")"</f>
        <v>Recoverable Hedge Amortization (Lesser of Ln 51 or Ln 54)</v>
      </c>
      <c r="C80" s="743"/>
      <c r="D80" s="737"/>
      <c r="E80" s="760">
        <f>+IF(E79&lt;E76,E79,E76)</f>
        <v>-1056830.8908860749</v>
      </c>
    </row>
    <row r="81" spans="1:5" s="750" customFormat="1" ht="12.75" customHeight="1">
      <c r="A81" s="417"/>
      <c r="B81" s="739"/>
      <c r="C81" s="743"/>
      <c r="D81" s="737"/>
      <c r="E81" s="743"/>
    </row>
    <row r="82" spans="1:5" s="750" customFormat="1" ht="12.75" customHeight="1">
      <c r="A82" s="761" t="s">
        <v>9</v>
      </c>
      <c r="B82" s="762"/>
      <c r="C82" s="743"/>
      <c r="D82" s="737"/>
      <c r="E82" s="743"/>
    </row>
    <row r="83" spans="1:5" s="750" customFormat="1" ht="12.75" customHeight="1">
      <c r="A83" s="417"/>
      <c r="B83" s="739"/>
      <c r="C83" s="743"/>
      <c r="D83" s="737"/>
      <c r="E83" s="743"/>
    </row>
    <row r="84" spans="1:5" s="750" customFormat="1" ht="12.75" customHeight="1">
      <c r="A84" s="417"/>
      <c r="B84" s="763" t="s">
        <v>258</v>
      </c>
      <c r="C84" s="764"/>
      <c r="D84" s="737"/>
      <c r="E84" s="764" t="s">
        <v>506</v>
      </c>
    </row>
    <row r="85" spans="1:5" s="750" customFormat="1" ht="12.75" customHeight="1">
      <c r="A85" s="417">
        <f>+A80+1</f>
        <v>56</v>
      </c>
      <c r="B85" s="737" t="str">
        <f>""&amp;C$85*100&amp;"% Series - "&amp;C$86&amp;" - Dividend Rate (p. 250-251)"</f>
        <v>0% Series - 0 - Dividend Rate (p. 250-251)</v>
      </c>
      <c r="C85" s="765">
        <v>0</v>
      </c>
      <c r="D85" s="765">
        <v>0</v>
      </c>
      <c r="E85" s="764"/>
    </row>
    <row r="86" spans="1:5" s="750" customFormat="1" ht="12.75" customHeight="1">
      <c r="A86" s="417">
        <f>+A85+1</f>
        <v>57</v>
      </c>
      <c r="B86" s="737" t="str">
        <f>""&amp;C$85*100&amp;"% Series - "&amp;C$86&amp;" - Par Value (p. 250-251)"</f>
        <v>0% Series - 0 - Par Value (p. 250-251)</v>
      </c>
      <c r="C86" s="766">
        <v>0</v>
      </c>
      <c r="D86" s="766">
        <v>0</v>
      </c>
      <c r="E86" s="764"/>
    </row>
    <row r="87" spans="1:5" s="750" customFormat="1" ht="12.75" customHeight="1">
      <c r="A87" s="417">
        <f>+A86+1</f>
        <v>58</v>
      </c>
      <c r="B87" s="737" t="str">
        <f>""&amp;C$85*100&amp;"% Series - "&amp;C$86&amp;" - Shares O/S (p.250-251) "</f>
        <v xml:space="preserve">0% Series - 0 - Shares O/S (p.250-251) </v>
      </c>
      <c r="C87" s="740">
        <v>0</v>
      </c>
      <c r="D87" s="740">
        <v>0</v>
      </c>
      <c r="E87" s="767"/>
    </row>
    <row r="88" spans="1:5" s="750" customFormat="1" ht="12.75" customHeight="1">
      <c r="A88" s="417">
        <f>+A87+1</f>
        <v>59</v>
      </c>
      <c r="B88" s="737" t="str">
        <f>""&amp;C$85*100&amp;"% Series - "&amp;C$86&amp;" - Monetary Value (Ln "&amp;A86&amp;" * Ln "&amp;A87&amp;")"</f>
        <v>0% Series - 0 - Monetary Value (Ln 57 * Ln 58)</v>
      </c>
      <c r="C88" s="768">
        <f>+C87*C86</f>
        <v>0</v>
      </c>
      <c r="D88" s="768">
        <f>+D87*D86</f>
        <v>0</v>
      </c>
      <c r="E88" s="455">
        <f>IF(C88=D88=0,0,AVERAGE(C88:D88))</f>
        <v>0</v>
      </c>
    </row>
    <row r="89" spans="1:5" s="750" customFormat="1" ht="12.75" customHeight="1">
      <c r="A89" s="417">
        <f>+A88+1</f>
        <v>60</v>
      </c>
      <c r="B89" s="737" t="str">
        <f>""&amp;C$85*100&amp;"% Series - "&amp;C$86&amp;" -  Dividend Amount (Ln "&amp;A85&amp;" * Ln "&amp;A88&amp;")"</f>
        <v>0% Series - 0 -  Dividend Amount (Ln 56 * Ln 59)</v>
      </c>
      <c r="C89" s="768">
        <f>+C88*C85</f>
        <v>0</v>
      </c>
      <c r="D89" s="768">
        <f>+D88*D85</f>
        <v>0</v>
      </c>
      <c r="E89" s="455">
        <f>IF(C89=D89=0,0,AVERAGE(C89:D89))</f>
        <v>0</v>
      </c>
    </row>
    <row r="90" spans="1:5" s="750" customFormat="1" ht="12.75" customHeight="1">
      <c r="A90" s="417"/>
      <c r="B90" s="737"/>
      <c r="C90" s="768"/>
      <c r="D90" s="758"/>
      <c r="E90" s="769"/>
    </row>
    <row r="91" spans="1:5" s="750" customFormat="1" ht="12.75" customHeight="1">
      <c r="A91" s="417">
        <f>+A89+1</f>
        <v>61</v>
      </c>
      <c r="B91" s="737" t="str">
        <f>""&amp;C$91*100&amp;"% Series - "&amp;C$92&amp;" - Dividend Rate (p. 250-251)"</f>
        <v>0% Series - 0 - Dividend Rate (p. 250-251)</v>
      </c>
      <c r="C91" s="765">
        <v>0</v>
      </c>
      <c r="D91" s="765">
        <v>0</v>
      </c>
      <c r="E91" s="769"/>
    </row>
    <row r="92" spans="1:5" s="750" customFormat="1" ht="12.75" customHeight="1">
      <c r="A92" s="417">
        <f>+A91+1</f>
        <v>62</v>
      </c>
      <c r="B92" s="737" t="str">
        <f>""&amp;C$91*100&amp;"% Series - "&amp;C$92&amp;" - Par Value (p. 250-251)"</f>
        <v>0% Series - 0 - Par Value (p. 250-251)</v>
      </c>
      <c r="C92" s="766">
        <v>0</v>
      </c>
      <c r="D92" s="766">
        <v>0</v>
      </c>
      <c r="E92" s="769"/>
    </row>
    <row r="93" spans="1:5" s="750" customFormat="1" ht="12.75" customHeight="1">
      <c r="A93" s="417">
        <f>+A92+1</f>
        <v>63</v>
      </c>
      <c r="B93" s="737" t="str">
        <f>""&amp;C$91*100&amp;"% Series - "&amp;C$92&amp;" - Shares O/S (p.250-251) "</f>
        <v xml:space="preserve">0% Series - 0 - Shares O/S (p.250-251) </v>
      </c>
      <c r="C93" s="740">
        <v>0</v>
      </c>
      <c r="D93" s="740">
        <v>0</v>
      </c>
      <c r="E93" s="769"/>
    </row>
    <row r="94" spans="1:5" s="750" customFormat="1" ht="12.75" customHeight="1">
      <c r="A94" s="417">
        <f>+A93+1</f>
        <v>64</v>
      </c>
      <c r="B94" s="737" t="str">
        <f>""&amp;C$91*100&amp;"% Series - "&amp;C$92&amp;" - Monetary Value (Ln "&amp;A92&amp;" * Ln "&amp;A93&amp;")"</f>
        <v>0% Series - 0 - Monetary Value (Ln 62 * Ln 63)</v>
      </c>
      <c r="C94" s="736">
        <f>+C93*C92</f>
        <v>0</v>
      </c>
      <c r="D94" s="736">
        <f>+D93*D92</f>
        <v>0</v>
      </c>
      <c r="E94" s="455">
        <f>IF(C94=D94=0,0,AVERAGE(C94:D94))</f>
        <v>0</v>
      </c>
    </row>
    <row r="95" spans="1:5" s="750" customFormat="1" ht="12.75" customHeight="1">
      <c r="A95" s="417">
        <f>+A94+1</f>
        <v>65</v>
      </c>
      <c r="B95" s="737" t="str">
        <f>""&amp;C$91*100&amp;"% Series - "&amp;C$92&amp;" -  Dividend Amount (Ln "&amp;A91&amp;" * Ln "&amp;A94&amp;")"</f>
        <v>0% Series - 0 -  Dividend Amount (Ln 61 * Ln 64)</v>
      </c>
      <c r="C95" s="736">
        <f>+C94*C91</f>
        <v>0</v>
      </c>
      <c r="D95" s="736">
        <f>+D94*D91</f>
        <v>0</v>
      </c>
      <c r="E95" s="455">
        <f>IF(C95=D95=0,0,AVERAGE(C95:D95))</f>
        <v>0</v>
      </c>
    </row>
    <row r="96" spans="1:5" s="750" customFormat="1" ht="12.75" customHeight="1">
      <c r="A96" s="417"/>
      <c r="B96" s="737"/>
      <c r="C96" s="736"/>
      <c r="D96" s="736"/>
      <c r="E96" s="455"/>
    </row>
    <row r="97" spans="1:6" s="750" customFormat="1" ht="12.75" customHeight="1">
      <c r="A97" s="417">
        <f>+A95+1</f>
        <v>66</v>
      </c>
      <c r="B97" s="737" t="str">
        <f>""&amp;C$97*100&amp;"% Series - "&amp;C$98&amp;" - Dividend Rate (p. 250-251)"</f>
        <v>0% Series - 0 - Dividend Rate (p. 250-251)</v>
      </c>
      <c r="C97" s="765">
        <v>0</v>
      </c>
      <c r="D97" s="765">
        <v>0</v>
      </c>
      <c r="E97" s="455"/>
    </row>
    <row r="98" spans="1:6" s="750" customFormat="1" ht="12.75" customHeight="1">
      <c r="A98" s="417">
        <f>+A97+1</f>
        <v>67</v>
      </c>
      <c r="B98" s="737" t="str">
        <f>""&amp;C$97*100&amp;"% Series - "&amp;C$98&amp;" - Par Value (p. 250-251)"</f>
        <v>0% Series - 0 - Par Value (p. 250-251)</v>
      </c>
      <c r="C98" s="766">
        <v>0</v>
      </c>
      <c r="D98" s="766">
        <v>0</v>
      </c>
      <c r="E98" s="455"/>
    </row>
    <row r="99" spans="1:6" s="750" customFormat="1" ht="12.75" customHeight="1">
      <c r="A99" s="417">
        <f>+A98+1</f>
        <v>68</v>
      </c>
      <c r="B99" s="737" t="str">
        <f>""&amp;C$97*100&amp;"% Series - "&amp;C$98&amp;" - Shares O/S (p.250-251) "</f>
        <v xml:space="preserve">0% Series - 0 - Shares O/S (p.250-251) </v>
      </c>
      <c r="C99" s="740">
        <v>0</v>
      </c>
      <c r="D99" s="740">
        <v>0</v>
      </c>
      <c r="E99" s="769"/>
    </row>
    <row r="100" spans="1:6" s="750" customFormat="1" ht="12.75" customHeight="1">
      <c r="A100" s="417">
        <f>+A99+1</f>
        <v>69</v>
      </c>
      <c r="B100" s="737" t="str">
        <f>""&amp;C$97*100&amp;"% Series - "&amp;C$98&amp;" - Monetary Value (Ln "&amp;A98&amp;" * Ln "&amp;A99&amp;")"</f>
        <v>0% Series - 0 - Monetary Value (Ln 67 * Ln 68)</v>
      </c>
      <c r="C100" s="736">
        <f>+C99*C98</f>
        <v>0</v>
      </c>
      <c r="D100" s="736">
        <f>+D99*D98</f>
        <v>0</v>
      </c>
      <c r="E100" s="455">
        <f>IF(C100=D100=0,0,AVERAGE(C100:D100))</f>
        <v>0</v>
      </c>
    </row>
    <row r="101" spans="1:6" s="750" customFormat="1" ht="12.75" customHeight="1">
      <c r="A101" s="417">
        <f>+A100+1</f>
        <v>70</v>
      </c>
      <c r="B101" s="737" t="str">
        <f>""&amp;C$97*100&amp;"% Series - "&amp;C$98&amp;" -  Dividend Amount (Ln "&amp;A97&amp;" * Ln "&amp;A100&amp;")"</f>
        <v>0% Series - 0 -  Dividend Amount (Ln 66 * Ln 69)</v>
      </c>
      <c r="C101" s="736">
        <f>+C100*C97</f>
        <v>0</v>
      </c>
      <c r="D101" s="736">
        <f>+D100*D97</f>
        <v>0</v>
      </c>
      <c r="E101" s="455">
        <f>IF(C101=D101=0,0,AVERAGE(C101:D101))</f>
        <v>0</v>
      </c>
    </row>
    <row r="102" spans="1:6" s="750" customFormat="1" ht="12.75" customHeight="1">
      <c r="A102" s="417"/>
      <c r="B102" s="737"/>
      <c r="C102" s="736"/>
      <c r="D102" s="736"/>
    </row>
    <row r="103" spans="1:6" s="750" customFormat="1" ht="12.75" customHeight="1">
      <c r="A103" s="417">
        <f>+A101+1</f>
        <v>71</v>
      </c>
      <c r="B103" s="746" t="str">
        <f>"Balance of Preferred Stock (Lns "&amp;A88&amp;", "&amp;A94&amp;", "&amp;A100&amp;")"</f>
        <v>Balance of Preferred Stock (Lns 59, 64, 69)</v>
      </c>
      <c r="C103" s="736">
        <f>+C88+C94+C100</f>
        <v>0</v>
      </c>
      <c r="D103" s="736">
        <f>+D88+D94+D100</f>
        <v>0</v>
      </c>
      <c r="E103" s="770">
        <f>+E88+E94+E100</f>
        <v>0</v>
      </c>
      <c r="F103" s="737" t="s">
        <v>313</v>
      </c>
    </row>
    <row r="104" spans="1:6" s="750" customFormat="1" ht="12.75" customHeight="1" thickBot="1">
      <c r="A104" s="417">
        <f>+A103+1</f>
        <v>72</v>
      </c>
      <c r="B104" s="746" t="str">
        <f>"Dividends on Preferred Stock (Lns "&amp;A89&amp;", "&amp;A95&amp;", "&amp;A101&amp;")"</f>
        <v>Dividends on Preferred Stock (Lns 60, 65, 70)</v>
      </c>
      <c r="C104" s="771">
        <f>+C95+C89+C101</f>
        <v>0</v>
      </c>
      <c r="D104" s="771">
        <f>+D95+D89+D101</f>
        <v>0</v>
      </c>
      <c r="E104" s="772">
        <f>+E101+E95+E89</f>
        <v>0</v>
      </c>
    </row>
    <row r="105" spans="1:6" s="750" customFormat="1" ht="12.75" customHeight="1" thickBot="1">
      <c r="A105" s="417">
        <f>+A104+1</f>
        <v>73</v>
      </c>
      <c r="B105" s="746" t="str">
        <f>"Average Cost of Preferred Stock (Ln "&amp;A104&amp;"/"&amp;A103&amp;")"</f>
        <v>Average Cost of Preferred Stock (Ln 72/71)</v>
      </c>
      <c r="C105" s="743">
        <f>IF(C103=0,0,C104/C103)</f>
        <v>0</v>
      </c>
      <c r="D105" s="743">
        <f>IF(D103=0,0,D104/D103)</f>
        <v>0</v>
      </c>
      <c r="E105" s="748">
        <f>IF(E103=0,0,+E104/E103)</f>
        <v>0</v>
      </c>
    </row>
  </sheetData>
  <mergeCells count="10">
    <mergeCell ref="B50:C50"/>
    <mergeCell ref="B60:E60"/>
    <mergeCell ref="B61:E61"/>
    <mergeCell ref="G62:H62"/>
    <mergeCell ref="A1:G1"/>
    <mergeCell ref="A2:G2"/>
    <mergeCell ref="A3:G3"/>
    <mergeCell ref="A4:G4"/>
    <mergeCell ref="C6:G6"/>
    <mergeCell ref="C25:H25"/>
  </mergeCells>
  <pageMargins left="0.7" right="0.7" top="0.75" bottom="0.75" header="0.3" footer="0.3"/>
  <pageSetup fitToHeight="0" orientation="landscape" cellComments="asDisplayed" r:id="rId1"/>
  <headerFooter>
    <oddHeader xml:space="preserve">&amp;L&amp;"Times New Roman,Bold Italic"&amp;12Privileged and Confidential
Subject to FERC Rules 602 and 606&amp;RPage &amp;P of &amp;N
</oddHeader>
  </headerFooter>
  <rowBreaks count="1" manualBreakCount="1">
    <brk id="44"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8">
    <pageSetUpPr fitToPage="1"/>
  </sheetPr>
  <dimension ref="A1:U34"/>
  <sheetViews>
    <sheetView tabSelected="1" view="pageBreakPreview" zoomScale="80" zoomScaleNormal="100" zoomScaleSheetLayoutView="80" workbookViewId="0">
      <selection activeCell="F7" sqref="F7"/>
    </sheetView>
  </sheetViews>
  <sheetFormatPr defaultRowHeight="12.75"/>
  <cols>
    <col min="2" max="2" width="11.85546875" customWidth="1"/>
    <col min="3" max="3" width="1" customWidth="1"/>
    <col min="8" max="8" width="1.5703125" customWidth="1"/>
    <col min="9" max="9" width="9.85546875" customWidth="1"/>
    <col min="10" max="10" width="1.5703125" customWidth="1"/>
    <col min="11" max="11" width="12.5703125" customWidth="1"/>
    <col min="12" max="12" width="1.5703125" customWidth="1"/>
    <col min="13" max="13" width="13.5703125" customWidth="1"/>
    <col min="14" max="14" width="1.140625" customWidth="1"/>
    <col min="15" max="15" width="14.85546875" customWidth="1"/>
    <col min="16" max="16" width="2.5703125" customWidth="1"/>
    <col min="17" max="17" width="12.5703125" customWidth="1"/>
    <col min="18" max="18" width="1.85546875" customWidth="1"/>
    <col min="19" max="19" width="17.5703125" customWidth="1"/>
    <col min="20" max="20" width="1.85546875" customWidth="1"/>
    <col min="21" max="21" width="10.42578125" customWidth="1"/>
  </cols>
  <sheetData>
    <row r="1" spans="1:21" ht="15.75">
      <c r="A1" s="665" t="s">
        <v>114</v>
      </c>
    </row>
    <row r="2" spans="1:21" ht="15.75">
      <c r="A2" s="665" t="s">
        <v>114</v>
      </c>
    </row>
    <row r="3" spans="1:21" ht="18">
      <c r="A3" s="1293" t="s">
        <v>387</v>
      </c>
      <c r="B3" s="1293"/>
      <c r="C3" s="1293"/>
      <c r="D3" s="1293"/>
      <c r="E3" s="1293"/>
      <c r="F3" s="1293"/>
      <c r="G3" s="1293"/>
      <c r="H3" s="1293"/>
      <c r="I3" s="1293"/>
      <c r="J3" s="1293"/>
      <c r="K3" s="1293"/>
      <c r="L3" s="1293"/>
      <c r="M3" s="1293"/>
      <c r="N3" s="1293"/>
      <c r="O3" s="1293"/>
    </row>
    <row r="4" spans="1:21" ht="18">
      <c r="A4" s="1292" t="str">
        <f>"Cost of Service Formula Rate Using Actual/Projected FF1 Balances"</f>
        <v>Cost of Service Formula Rate Using Actual/Projected FF1 Balances</v>
      </c>
      <c r="B4" s="1292"/>
      <c r="C4" s="1292"/>
      <c r="D4" s="1292"/>
      <c r="E4" s="1292"/>
      <c r="F4" s="1292"/>
      <c r="G4" s="1292"/>
      <c r="H4" s="1292"/>
      <c r="I4" s="1292"/>
      <c r="J4" s="1292"/>
      <c r="K4" s="1292"/>
      <c r="L4" s="1292"/>
      <c r="M4" s="1292"/>
      <c r="N4" s="1292"/>
      <c r="O4" s="1292"/>
    </row>
    <row r="5" spans="1:21" ht="18">
      <c r="A5" s="1292" t="s">
        <v>239</v>
      </c>
      <c r="B5" s="1292"/>
      <c r="C5" s="1292"/>
      <c r="D5" s="1292"/>
      <c r="E5" s="1292"/>
      <c r="F5" s="1292"/>
      <c r="G5" s="1292"/>
      <c r="H5" s="1292"/>
      <c r="I5" s="1292"/>
      <c r="J5" s="1292"/>
      <c r="K5" s="1292"/>
      <c r="L5" s="1292"/>
      <c r="M5" s="1292"/>
      <c r="N5" s="1292"/>
      <c r="O5" s="1292"/>
    </row>
    <row r="6" spans="1:21" ht="18">
      <c r="A6" s="1286" t="str">
        <f>+TCOS!F9</f>
        <v>Appalachian Power Company</v>
      </c>
      <c r="B6" s="1286"/>
      <c r="C6" s="1286"/>
      <c r="D6" s="1286"/>
      <c r="E6" s="1286"/>
      <c r="F6" s="1286"/>
      <c r="G6" s="1286"/>
      <c r="H6" s="1286"/>
      <c r="I6" s="1286"/>
      <c r="J6" s="1286"/>
      <c r="K6" s="1286"/>
      <c r="L6" s="1286"/>
      <c r="M6" s="1286"/>
      <c r="N6" s="1286"/>
      <c r="O6" s="1286"/>
    </row>
    <row r="7" spans="1:21" ht="12.75" customHeight="1">
      <c r="A7" s="125"/>
      <c r="B7" s="125"/>
      <c r="C7" s="125"/>
      <c r="D7" s="125"/>
      <c r="E7" s="125"/>
      <c r="F7" s="125"/>
      <c r="G7" s="125"/>
      <c r="H7" s="125"/>
      <c r="I7" s="125"/>
      <c r="J7" s="125"/>
      <c r="K7" s="125"/>
      <c r="L7" s="125"/>
    </row>
    <row r="8" spans="1:21" ht="12.75" customHeight="1">
      <c r="A8" s="1318" t="s">
        <v>390</v>
      </c>
      <c r="B8" s="1318"/>
      <c r="C8" s="1318"/>
      <c r="D8" s="1318"/>
      <c r="E8" s="1318"/>
      <c r="F8" s="1318"/>
      <c r="G8" s="1318"/>
      <c r="H8" s="1318"/>
      <c r="I8" s="1318"/>
      <c r="J8" s="1318"/>
      <c r="K8" s="1318"/>
      <c r="L8" s="1318"/>
      <c r="M8" s="1318"/>
      <c r="N8" s="1318"/>
      <c r="O8" s="1318"/>
    </row>
    <row r="9" spans="1:21" ht="12.75" customHeight="1">
      <c r="A9" s="1318"/>
      <c r="B9" s="1318"/>
      <c r="C9" s="1318"/>
      <c r="D9" s="1318"/>
      <c r="E9" s="1318"/>
      <c r="F9" s="1318"/>
      <c r="G9" s="1318"/>
      <c r="H9" s="1318"/>
      <c r="I9" s="1318"/>
      <c r="J9" s="1318"/>
      <c r="K9" s="1318"/>
      <c r="L9" s="1318"/>
      <c r="M9" s="1318"/>
      <c r="N9" s="1318"/>
      <c r="O9" s="1318"/>
    </row>
    <row r="10" spans="1:21">
      <c r="A10" s="1318"/>
      <c r="B10" s="1318"/>
      <c r="C10" s="1318"/>
      <c r="D10" s="1318"/>
      <c r="E10" s="1318"/>
      <c r="F10" s="1318"/>
      <c r="G10" s="1318"/>
      <c r="H10" s="1318"/>
      <c r="I10" s="1318"/>
      <c r="J10" s="1318"/>
      <c r="K10" s="1318"/>
      <c r="L10" s="1318"/>
      <c r="M10" s="1318"/>
      <c r="N10" s="1318"/>
      <c r="O10" s="1318"/>
    </row>
    <row r="11" spans="1:21">
      <c r="A11" s="1318"/>
      <c r="B11" s="1318"/>
      <c r="C11" s="1318"/>
      <c r="D11" s="1318"/>
      <c r="E11" s="1318"/>
      <c r="F11" s="1318"/>
      <c r="G11" s="1318"/>
      <c r="H11" s="1318"/>
      <c r="I11" s="1318"/>
      <c r="J11" s="1318"/>
      <c r="K11" s="1318"/>
      <c r="L11" s="1318"/>
      <c r="M11" s="1318"/>
      <c r="N11" s="1318"/>
      <c r="O11" s="1318"/>
    </row>
    <row r="12" spans="1:21">
      <c r="B12" s="1" t="s">
        <v>162</v>
      </c>
      <c r="C12" s="1"/>
      <c r="D12" s="1242" t="s">
        <v>163</v>
      </c>
      <c r="E12" s="1242"/>
      <c r="F12" s="1242"/>
      <c r="G12" s="1242"/>
      <c r="H12" s="1"/>
      <c r="I12" s="1" t="s">
        <v>4</v>
      </c>
      <c r="J12" s="1"/>
      <c r="K12" s="1" t="s">
        <v>165</v>
      </c>
      <c r="L12" s="1"/>
      <c r="M12" s="1" t="s">
        <v>84</v>
      </c>
      <c r="N12" s="1"/>
      <c r="O12" s="1" t="s">
        <v>85</v>
      </c>
      <c r="P12" s="1"/>
      <c r="Q12" s="1" t="s">
        <v>20</v>
      </c>
      <c r="R12" s="1"/>
      <c r="S12" s="1" t="s">
        <v>91</v>
      </c>
      <c r="T12" s="1"/>
      <c r="U12" s="78" t="s">
        <v>500</v>
      </c>
    </row>
    <row r="13" spans="1:21">
      <c r="I13" s="1317" t="s">
        <v>18</v>
      </c>
      <c r="Q13" s="1319" t="s">
        <v>19</v>
      </c>
      <c r="S13" s="1317" t="s">
        <v>21</v>
      </c>
      <c r="U13" s="231" t="s">
        <v>80</v>
      </c>
    </row>
    <row r="14" spans="1:21">
      <c r="A14" s="134" t="s">
        <v>17</v>
      </c>
      <c r="B14" s="134" t="s">
        <v>13</v>
      </c>
      <c r="C14" s="134"/>
      <c r="D14" s="171" t="s">
        <v>14</v>
      </c>
      <c r="E14" s="134"/>
      <c r="F14" s="134"/>
      <c r="G14" s="134"/>
      <c r="H14" s="134"/>
      <c r="I14" s="1301"/>
      <c r="J14" s="134"/>
      <c r="K14" s="134" t="s">
        <v>15</v>
      </c>
      <c r="L14" s="134"/>
      <c r="M14" s="134" t="s">
        <v>16</v>
      </c>
      <c r="N14" s="134"/>
      <c r="O14" s="134" t="s">
        <v>493</v>
      </c>
      <c r="Q14" s="1319"/>
      <c r="S14" s="1317"/>
      <c r="U14" s="231" t="s">
        <v>306</v>
      </c>
    </row>
    <row r="15" spans="1:21">
      <c r="A15" s="134"/>
      <c r="B15" s="134"/>
      <c r="C15" s="134"/>
      <c r="D15" s="171"/>
      <c r="E15" s="134"/>
      <c r="F15" s="134"/>
      <c r="G15" s="134"/>
      <c r="H15" s="134"/>
      <c r="I15" t="s">
        <v>491</v>
      </c>
      <c r="J15" s="134"/>
      <c r="K15" s="134"/>
      <c r="L15" s="134"/>
      <c r="M15" s="134"/>
      <c r="N15" s="134"/>
      <c r="O15" s="134"/>
      <c r="Q15" s="190"/>
      <c r="S15" s="134" t="s">
        <v>493</v>
      </c>
    </row>
    <row r="16" spans="1:21">
      <c r="I16" t="s">
        <v>492</v>
      </c>
    </row>
    <row r="17" spans="1:21">
      <c r="A17" s="1">
        <v>1</v>
      </c>
      <c r="B17" s="657"/>
      <c r="D17" s="1320"/>
      <c r="E17" s="1320"/>
      <c r="F17" s="1320"/>
      <c r="G17" s="1320"/>
      <c r="I17" s="658"/>
      <c r="K17" s="656"/>
      <c r="L17" s="105"/>
      <c r="M17" s="656"/>
      <c r="O17" s="143">
        <f>+K17-M17</f>
        <v>0</v>
      </c>
      <c r="Q17" s="178">
        <f>IF(I17="G",TCOS!L257,IF(I17="T",1,0))</f>
        <v>0</v>
      </c>
      <c r="S17" s="143">
        <f>ROUND(O17*Q17,0)</f>
        <v>0</v>
      </c>
      <c r="U17" s="659"/>
    </row>
    <row r="18" spans="1:21">
      <c r="A18" s="1"/>
      <c r="D18" s="1320"/>
      <c r="E18" s="1320"/>
      <c r="F18" s="1320"/>
      <c r="G18" s="1320"/>
      <c r="K18" s="105"/>
      <c r="L18" s="105"/>
      <c r="M18" s="105"/>
      <c r="O18" s="105"/>
      <c r="Q18" s="178"/>
      <c r="S18" s="105"/>
    </row>
    <row r="19" spans="1:21">
      <c r="A19" s="1"/>
      <c r="D19" s="1320"/>
      <c r="E19" s="1320"/>
      <c r="F19" s="1320"/>
      <c r="G19" s="1320"/>
      <c r="K19" s="105"/>
      <c r="L19" s="105"/>
      <c r="M19" s="105"/>
      <c r="O19" s="105"/>
      <c r="Q19" s="178"/>
      <c r="S19" s="105"/>
    </row>
    <row r="20" spans="1:21">
      <c r="A20" s="1"/>
      <c r="K20" s="105"/>
      <c r="L20" s="105"/>
      <c r="M20" s="105"/>
      <c r="O20" s="105"/>
      <c r="Q20" s="178"/>
      <c r="S20" s="105"/>
    </row>
    <row r="21" spans="1:21">
      <c r="A21" s="1"/>
      <c r="K21" s="105"/>
      <c r="L21" s="105"/>
      <c r="M21" s="105"/>
      <c r="O21" s="105"/>
      <c r="Q21" s="178"/>
      <c r="S21" s="105"/>
    </row>
    <row r="22" spans="1:21" ht="12" customHeight="1">
      <c r="A22" s="1">
        <f>+A17+1</f>
        <v>2</v>
      </c>
      <c r="B22" s="657"/>
      <c r="D22" s="1320"/>
      <c r="E22" s="1320"/>
      <c r="F22" s="1320"/>
      <c r="G22" s="1320"/>
      <c r="I22" s="658"/>
      <c r="K22" s="656"/>
      <c r="L22" s="105"/>
      <c r="M22" s="656"/>
      <c r="O22" s="143">
        <f>+K22-M22</f>
        <v>0</v>
      </c>
      <c r="Q22" s="178">
        <f>IF(I22="G",TCOS!L257,IF(I22="T",1,0))</f>
        <v>0</v>
      </c>
      <c r="S22" s="143">
        <f>ROUND(O22*Q22,0)</f>
        <v>0</v>
      </c>
      <c r="U22" s="659"/>
    </row>
    <row r="23" spans="1:21">
      <c r="A23" s="1"/>
      <c r="D23" s="1320"/>
      <c r="E23" s="1320"/>
      <c r="F23" s="1320"/>
      <c r="G23" s="1320"/>
      <c r="K23" s="105"/>
      <c r="L23" s="105"/>
      <c r="M23" s="105"/>
      <c r="O23" s="105"/>
      <c r="Q23" s="178"/>
      <c r="S23" s="105"/>
    </row>
    <row r="24" spans="1:21">
      <c r="A24" s="1"/>
      <c r="D24" s="1320"/>
      <c r="E24" s="1320"/>
      <c r="F24" s="1320"/>
      <c r="G24" s="1320"/>
      <c r="K24" s="105"/>
      <c r="L24" s="105"/>
      <c r="M24" s="105"/>
      <c r="O24" s="105"/>
      <c r="Q24" s="178"/>
      <c r="S24" s="105"/>
    </row>
    <row r="25" spans="1:21">
      <c r="A25" s="1"/>
      <c r="I25" s="1"/>
      <c r="K25" s="105"/>
      <c r="L25" s="105"/>
      <c r="M25" s="105"/>
      <c r="O25" s="105"/>
      <c r="Q25" s="178"/>
      <c r="S25" s="105"/>
    </row>
    <row r="26" spans="1:21">
      <c r="A26" s="1"/>
      <c r="I26" s="1"/>
      <c r="K26" s="105"/>
      <c r="L26" s="105"/>
      <c r="M26" s="105"/>
      <c r="O26" s="105"/>
      <c r="Q26" s="178"/>
      <c r="S26" s="105"/>
    </row>
    <row r="27" spans="1:21">
      <c r="A27" s="1">
        <f>+A22+1</f>
        <v>3</v>
      </c>
      <c r="B27" s="657"/>
      <c r="D27" s="1320"/>
      <c r="E27" s="1320"/>
      <c r="F27" s="1320"/>
      <c r="G27" s="1320"/>
      <c r="I27" s="658"/>
      <c r="K27" s="656"/>
      <c r="L27" s="105"/>
      <c r="M27" s="656"/>
      <c r="O27" s="143">
        <f>+K27-M27</f>
        <v>0</v>
      </c>
      <c r="Q27" s="178">
        <f>IF(I27="G",TCOS!L257,IF(I27="T",1,0))</f>
        <v>0</v>
      </c>
      <c r="S27" s="143">
        <f>ROUND(O27*Q27,0)</f>
        <v>0</v>
      </c>
      <c r="U27" s="659"/>
    </row>
    <row r="28" spans="1:21">
      <c r="A28" s="1"/>
      <c r="D28" s="1320"/>
      <c r="E28" s="1320"/>
      <c r="F28" s="1320"/>
      <c r="G28" s="1320"/>
      <c r="K28" s="105"/>
      <c r="L28" s="105"/>
      <c r="M28" s="105"/>
      <c r="O28" s="105"/>
      <c r="Q28" s="178"/>
      <c r="S28" s="105"/>
    </row>
    <row r="29" spans="1:21">
      <c r="A29" s="1"/>
      <c r="D29" s="1320"/>
      <c r="E29" s="1320"/>
      <c r="F29" s="1320"/>
      <c r="G29" s="1320"/>
      <c r="K29" s="105"/>
      <c r="L29" s="105"/>
      <c r="M29" s="105"/>
      <c r="O29" s="105"/>
      <c r="Q29" s="178"/>
    </row>
    <row r="30" spans="1:21">
      <c r="A30" s="1"/>
      <c r="O30" s="105"/>
      <c r="Q30" s="178"/>
    </row>
    <row r="31" spans="1:21">
      <c r="A31" s="1"/>
      <c r="O31" s="105"/>
      <c r="Q31" s="178"/>
    </row>
    <row r="32" spans="1:21">
      <c r="A32" s="1"/>
      <c r="O32" s="105"/>
      <c r="Q32" s="178"/>
    </row>
    <row r="33" spans="1:19" ht="13.5" thickBot="1">
      <c r="A33" s="1">
        <f>+A27+1</f>
        <v>4</v>
      </c>
      <c r="K33" t="str">
        <f>"Net (Gain) or Loss for "&amp;TCOS!L4&amp;""</f>
        <v>Net (Gain) or Loss for 2025</v>
      </c>
      <c r="O33" s="188">
        <f>SUM(O17:O27)</f>
        <v>0</v>
      </c>
      <c r="Q33" s="189"/>
      <c r="S33" s="188">
        <f>SUM(S17:S27)</f>
        <v>0</v>
      </c>
    </row>
    <row r="34" spans="1:19" ht="13.5" thickTop="1">
      <c r="A34" s="1"/>
      <c r="O34" s="105"/>
      <c r="Q34" s="189"/>
    </row>
  </sheetData>
  <mergeCells count="12">
    <mergeCell ref="Q13:Q14"/>
    <mergeCell ref="S13:S14"/>
    <mergeCell ref="D17:G19"/>
    <mergeCell ref="D22:G24"/>
    <mergeCell ref="D27:G29"/>
    <mergeCell ref="A3:O3"/>
    <mergeCell ref="A4:O4"/>
    <mergeCell ref="A5:O5"/>
    <mergeCell ref="I13:I14"/>
    <mergeCell ref="D12:G12"/>
    <mergeCell ref="A6:O6"/>
    <mergeCell ref="A8:O11"/>
  </mergeCells>
  <phoneticPr fontId="90" type="noConversion"/>
  <pageMargins left="0.75" right="0.75" top="1" bottom="1" header="0.75" footer="0.5"/>
  <pageSetup scale="76" orientation="landscape" r:id="rId1"/>
  <headerFooter alignWithMargins="0">
    <oddHeader>&amp;R&amp;"Arial,Bold"Formula Rate 
&amp;A
Page &amp;P of &amp;N</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dimension ref="A1:V287"/>
  <sheetViews>
    <sheetView tabSelected="1" view="pageBreakPreview" topLeftCell="A7" zoomScaleNormal="75" zoomScaleSheetLayoutView="100" workbookViewId="0">
      <selection activeCell="F7" sqref="F7"/>
    </sheetView>
  </sheetViews>
  <sheetFormatPr defaultColWidth="9.140625" defaultRowHeight="12.75"/>
  <cols>
    <col min="1" max="1" width="8.140625" style="880" customWidth="1"/>
    <col min="2" max="2" width="28.85546875" style="880" customWidth="1"/>
    <col min="3" max="3" width="17.85546875" style="880" customWidth="1"/>
    <col min="4" max="4" width="19.42578125" style="880" customWidth="1"/>
    <col min="5" max="6" width="19.85546875" style="880" customWidth="1"/>
    <col min="7" max="7" width="21.42578125" style="880" customWidth="1"/>
    <col min="8" max="9" width="19.85546875" style="880" customWidth="1"/>
    <col min="10" max="10" width="21.42578125" style="880" customWidth="1"/>
    <col min="11" max="11" width="18.140625" style="880" customWidth="1"/>
    <col min="12" max="12" width="22.42578125" style="880" customWidth="1"/>
    <col min="13" max="13" width="22.140625" style="880" customWidth="1"/>
    <col min="14" max="14" width="11.140625" style="880" customWidth="1"/>
    <col min="15" max="15" width="11.42578125" style="880" bestFit="1" customWidth="1"/>
    <col min="16" max="16" width="12.42578125" style="880" customWidth="1"/>
    <col min="17" max="17" width="9.140625" style="880"/>
    <col min="18" max="18" width="10.42578125" style="880" bestFit="1" customWidth="1"/>
    <col min="19" max="19" width="9.140625" style="880"/>
    <col min="20" max="20" width="12.85546875" style="880" customWidth="1"/>
    <col min="21" max="21" width="13.5703125" style="880" customWidth="1"/>
    <col min="22" max="16384" width="9.140625" style="880"/>
  </cols>
  <sheetData>
    <row r="1" spans="1:17" ht="15.75">
      <c r="A1" s="879" t="s">
        <v>114</v>
      </c>
    </row>
    <row r="2" spans="1:17" ht="15.75">
      <c r="A2" s="879" t="s">
        <v>114</v>
      </c>
    </row>
    <row r="3" spans="1:17" ht="15.75">
      <c r="A3" s="1327" t="s">
        <v>387</v>
      </c>
      <c r="B3" s="1327"/>
      <c r="C3" s="1327"/>
      <c r="D3" s="1327"/>
      <c r="E3" s="1327"/>
      <c r="F3" s="1327"/>
      <c r="G3" s="1327"/>
      <c r="H3" s="1327"/>
      <c r="I3" s="1327"/>
      <c r="J3" s="1327"/>
      <c r="K3" s="1327"/>
      <c r="L3" s="881"/>
      <c r="M3" s="881"/>
      <c r="N3" s="882"/>
      <c r="O3" s="882"/>
      <c r="P3" s="882"/>
      <c r="Q3" s="882"/>
    </row>
    <row r="4" spans="1:17" ht="15.75">
      <c r="A4" s="1328" t="str">
        <f>"Cost of Service Formula Rate Using Actual/Projected FF1 Balances"</f>
        <v>Cost of Service Formula Rate Using Actual/Projected FF1 Balances</v>
      </c>
      <c r="B4" s="1329"/>
      <c r="C4" s="1329"/>
      <c r="D4" s="1329"/>
      <c r="E4" s="1329"/>
      <c r="F4" s="1329"/>
      <c r="G4" s="1329"/>
      <c r="H4" s="1329"/>
      <c r="I4" s="1329"/>
      <c r="J4" s="1329"/>
      <c r="K4" s="1329"/>
      <c r="L4" s="883"/>
      <c r="M4" s="885"/>
      <c r="N4" s="886"/>
      <c r="O4" s="886"/>
      <c r="P4" s="886"/>
      <c r="Q4" s="886"/>
    </row>
    <row r="5" spans="1:17" ht="15.75">
      <c r="A5" s="1328" t="s">
        <v>848</v>
      </c>
      <c r="B5" s="1328"/>
      <c r="C5" s="1328"/>
      <c r="D5" s="1328"/>
      <c r="E5" s="1328"/>
      <c r="F5" s="1328"/>
      <c r="G5" s="1328"/>
      <c r="H5" s="1328"/>
      <c r="I5" s="1328"/>
      <c r="J5" s="1328"/>
      <c r="K5" s="1328"/>
      <c r="L5" s="883"/>
      <c r="M5" s="887"/>
      <c r="N5" s="887"/>
      <c r="O5" s="887"/>
      <c r="P5" s="887"/>
      <c r="Q5" s="887"/>
    </row>
    <row r="6" spans="1:17" ht="15.75">
      <c r="A6" s="1330" t="str">
        <f>TCOS!F9</f>
        <v>Appalachian Power Company</v>
      </c>
      <c r="B6" s="1330"/>
      <c r="C6" s="1330"/>
      <c r="D6" s="1330"/>
      <c r="E6" s="1330"/>
      <c r="F6" s="1330"/>
      <c r="G6" s="1330"/>
      <c r="H6" s="1330"/>
      <c r="I6" s="1330"/>
      <c r="J6" s="1330"/>
      <c r="K6" s="1330"/>
      <c r="L6" s="888"/>
      <c r="M6" s="888"/>
      <c r="N6" s="889"/>
      <c r="O6" s="889"/>
      <c r="P6" s="889"/>
      <c r="Q6" s="889"/>
    </row>
    <row r="9" spans="1:17">
      <c r="B9" s="1324"/>
      <c r="C9" s="1324"/>
      <c r="D9" s="1324"/>
      <c r="E9" s="1324"/>
      <c r="F9" s="1324"/>
      <c r="G9" s="1324"/>
      <c r="H9" s="1324"/>
      <c r="I9" s="1324"/>
      <c r="J9" s="1324"/>
      <c r="K9" s="1324"/>
      <c r="L9" s="1324"/>
      <c r="M9" s="1324"/>
      <c r="N9" s="891"/>
      <c r="O9" s="891"/>
      <c r="P9" s="891"/>
      <c r="Q9" s="891"/>
    </row>
    <row r="10" spans="1:17">
      <c r="I10" s="891"/>
      <c r="J10" s="891"/>
      <c r="K10" s="891"/>
      <c r="L10" s="891"/>
      <c r="M10" s="891"/>
      <c r="N10" s="891"/>
      <c r="O10" s="891"/>
      <c r="P10" s="891"/>
      <c r="Q10" s="891"/>
    </row>
    <row r="11" spans="1:17">
      <c r="I11" s="891"/>
      <c r="J11" s="891"/>
      <c r="K11" s="891"/>
      <c r="L11" s="891"/>
      <c r="M11" s="891"/>
      <c r="N11" s="891"/>
      <c r="O11" s="891"/>
      <c r="P11" s="891"/>
      <c r="Q11" s="891"/>
    </row>
    <row r="12" spans="1:17">
      <c r="A12" s="884">
        <v>1</v>
      </c>
      <c r="B12" s="880" t="s">
        <v>822</v>
      </c>
      <c r="E12" s="1144">
        <v>-203719238.61753508</v>
      </c>
      <c r="J12" s="891"/>
      <c r="K12" s="891"/>
      <c r="L12" s="891"/>
      <c r="M12" s="891"/>
      <c r="N12" s="891"/>
      <c r="O12" s="891"/>
      <c r="P12" s="891"/>
      <c r="Q12" s="891"/>
    </row>
    <row r="13" spans="1:17">
      <c r="J13" s="891"/>
      <c r="K13" s="891"/>
      <c r="L13" s="891"/>
      <c r="M13" s="891"/>
      <c r="N13" s="891"/>
      <c r="O13" s="891"/>
      <c r="P13" s="891"/>
      <c r="Q13" s="891"/>
    </row>
    <row r="14" spans="1:17">
      <c r="B14" s="1321" t="str">
        <f>"Allocation of PBOP Settlement Amount for "&amp;TCOS!L4&amp;""</f>
        <v>Allocation of PBOP Settlement Amount for 2025</v>
      </c>
      <c r="C14" s="1321"/>
      <c r="D14" s="892"/>
      <c r="E14" s="892"/>
      <c r="F14" s="892"/>
      <c r="G14" s="892"/>
      <c r="H14" s="892"/>
      <c r="I14" s="892"/>
      <c r="J14" s="892"/>
      <c r="K14" s="892"/>
      <c r="L14" s="892"/>
      <c r="M14" s="892"/>
      <c r="N14" s="891"/>
      <c r="O14" s="891"/>
      <c r="P14" s="891"/>
      <c r="Q14" s="891"/>
    </row>
    <row r="15" spans="1:17">
      <c r="C15" s="1324" t="s">
        <v>823</v>
      </c>
      <c r="D15" s="1324"/>
      <c r="E15" s="1324"/>
      <c r="F15" s="890"/>
      <c r="N15" s="891"/>
      <c r="O15" s="891"/>
      <c r="P15" s="891"/>
      <c r="Q15" s="891"/>
    </row>
    <row r="16" spans="1:17">
      <c r="C16" s="1325" t="s">
        <v>824</v>
      </c>
      <c r="D16" s="1325" t="s">
        <v>825</v>
      </c>
      <c r="E16" s="1325" t="s">
        <v>826</v>
      </c>
      <c r="F16" s="912"/>
      <c r="G16" s="912"/>
      <c r="H16" s="912"/>
      <c r="I16" s="1325" t="s">
        <v>827</v>
      </c>
      <c r="N16" s="891"/>
      <c r="O16" s="891"/>
      <c r="P16" s="891"/>
      <c r="Q16" s="891"/>
    </row>
    <row r="17" spans="1:17" ht="12.75" customHeight="1">
      <c r="C17" s="1322"/>
      <c r="D17" s="1322"/>
      <c r="E17" s="1322"/>
      <c r="F17" s="1325" t="str">
        <f>"Labor Allocator for "&amp;TCOS!L4&amp;""</f>
        <v>Labor Allocator for 2025</v>
      </c>
      <c r="G17" s="914"/>
      <c r="H17" s="1326" t="s">
        <v>828</v>
      </c>
      <c r="I17" s="1325"/>
      <c r="N17" s="891"/>
      <c r="O17" s="891"/>
      <c r="P17" s="891"/>
      <c r="Q17" s="891"/>
    </row>
    <row r="18" spans="1:17">
      <c r="A18" s="893" t="s">
        <v>829</v>
      </c>
      <c r="B18" s="890" t="s">
        <v>183</v>
      </c>
      <c r="C18" s="1322"/>
      <c r="D18" s="1322"/>
      <c r="E18" s="1322"/>
      <c r="F18" s="1325"/>
      <c r="G18" s="916" t="s">
        <v>830</v>
      </c>
      <c r="H18" s="1326"/>
      <c r="I18" s="1325"/>
      <c r="N18" s="891"/>
      <c r="O18" s="891"/>
      <c r="P18" s="891"/>
      <c r="Q18" s="891"/>
    </row>
    <row r="19" spans="1:17">
      <c r="B19" s="890"/>
      <c r="C19" s="900"/>
      <c r="D19" s="900"/>
      <c r="E19" s="900"/>
      <c r="F19" s="912"/>
      <c r="G19" s="914"/>
      <c r="H19" s="914"/>
      <c r="I19" s="900"/>
      <c r="N19" s="891"/>
      <c r="O19" s="891"/>
      <c r="P19" s="891"/>
      <c r="Q19" s="891"/>
    </row>
    <row r="20" spans="1:17" ht="25.5">
      <c r="B20" s="890"/>
      <c r="C20" s="912" t="s">
        <v>162</v>
      </c>
      <c r="D20" s="912" t="s">
        <v>831</v>
      </c>
      <c r="E20" s="913" t="str">
        <f>"(C )=(B) * "&amp;E12&amp;""</f>
        <v>(C )=(B) * -203719238.617535</v>
      </c>
      <c r="F20" s="912" t="s">
        <v>165</v>
      </c>
      <c r="G20" s="917" t="s">
        <v>832</v>
      </c>
      <c r="H20" s="917" t="s">
        <v>833</v>
      </c>
      <c r="I20" s="913" t="s">
        <v>834</v>
      </c>
      <c r="N20" s="891"/>
      <c r="O20" s="891"/>
      <c r="P20" s="891"/>
      <c r="Q20" s="891"/>
    </row>
    <row r="21" spans="1:17">
      <c r="B21" s="890"/>
      <c r="C21" s="912" t="str">
        <f>"(Line "&amp;A47&amp;")"</f>
        <v>(Line 14)</v>
      </c>
      <c r="D21" s="912"/>
      <c r="E21" s="913"/>
      <c r="F21" s="912"/>
      <c r="G21" s="914"/>
      <c r="H21" s="915"/>
      <c r="I21" s="913"/>
      <c r="N21" s="891"/>
      <c r="O21" s="891"/>
      <c r="P21" s="891"/>
      <c r="Q21" s="891"/>
    </row>
    <row r="22" spans="1:17">
      <c r="A22" s="880">
        <v>2</v>
      </c>
      <c r="B22" s="880" t="s">
        <v>835</v>
      </c>
      <c r="C22" s="918">
        <f>D47</f>
        <v>-15301519.658836434</v>
      </c>
      <c r="D22" s="919">
        <f t="shared" ref="D22:D27" si="0">+C22/C$28</f>
        <v>0.36412705758197317</v>
      </c>
      <c r="E22" s="899">
        <f t="shared" ref="E22:E27" si="1">ROUND(D22*E$28,0)</f>
        <v>-74179687</v>
      </c>
      <c r="F22" s="985">
        <v>0.11936202903264627</v>
      </c>
      <c r="G22" s="914">
        <f t="shared" ref="G22:G27" si="2">+C22*F22</f>
        <v>-1826420.4337616421</v>
      </c>
      <c r="H22" s="914">
        <f t="shared" ref="H22:H27" si="3">+F22*E22</f>
        <v>-8854237.9533266127</v>
      </c>
      <c r="I22" s="899">
        <f t="shared" ref="I22:I27" si="4">+G22-H22</f>
        <v>7027817.5195649704</v>
      </c>
      <c r="N22" s="891"/>
      <c r="O22" s="891"/>
      <c r="P22" s="891"/>
      <c r="Q22" s="891"/>
    </row>
    <row r="23" spans="1:17">
      <c r="A23" s="880">
        <f t="shared" ref="A23:A28" si="5">+A22+1</f>
        <v>3</v>
      </c>
      <c r="B23" s="880" t="s">
        <v>836</v>
      </c>
      <c r="C23" s="918">
        <f>F47</f>
        <v>-10542358.114148542</v>
      </c>
      <c r="D23" s="919">
        <f t="shared" si="0"/>
        <v>0.25087428736945838</v>
      </c>
      <c r="E23" s="899">
        <f t="shared" si="1"/>
        <v>-51107919</v>
      </c>
      <c r="F23" s="985">
        <v>4.9622134516203481E-2</v>
      </c>
      <c r="G23" s="914">
        <f t="shared" si="2"/>
        <v>-523134.31245826819</v>
      </c>
      <c r="H23" s="914">
        <f t="shared" si="3"/>
        <v>-2536084.0314612319</v>
      </c>
      <c r="I23" s="899">
        <f t="shared" si="4"/>
        <v>2012949.7190029637</v>
      </c>
      <c r="N23" s="891"/>
      <c r="O23" s="891"/>
      <c r="P23" s="891"/>
      <c r="Q23" s="891"/>
    </row>
    <row r="24" spans="1:17">
      <c r="A24" s="880">
        <f t="shared" si="5"/>
        <v>4</v>
      </c>
      <c r="B24" s="880" t="s">
        <v>837</v>
      </c>
      <c r="C24" s="918">
        <f>G47</f>
        <v>-3474539.3644135403</v>
      </c>
      <c r="D24" s="919">
        <f t="shared" si="0"/>
        <v>8.2682885322832619E-2</v>
      </c>
      <c r="E24" s="899">
        <f t="shared" si="1"/>
        <v>-16844094</v>
      </c>
      <c r="F24" s="985">
        <v>0.11037346423821143</v>
      </c>
      <c r="G24" s="914">
        <f t="shared" si="2"/>
        <v>-383496.94628235576</v>
      </c>
      <c r="H24" s="914">
        <f t="shared" si="3"/>
        <v>-1859141.0067340718</v>
      </c>
      <c r="I24" s="899">
        <f t="shared" si="4"/>
        <v>1475644.060451716</v>
      </c>
      <c r="N24" s="891"/>
      <c r="O24" s="891"/>
      <c r="P24" s="891"/>
      <c r="Q24" s="891"/>
    </row>
    <row r="25" spans="1:17">
      <c r="A25" s="880">
        <f t="shared" si="5"/>
        <v>5</v>
      </c>
      <c r="B25" s="880" t="s">
        <v>838</v>
      </c>
      <c r="C25" s="918">
        <f>H47</f>
        <v>-393490.40255542228</v>
      </c>
      <c r="D25" s="919">
        <f t="shared" si="0"/>
        <v>9.3638086715465141E-3</v>
      </c>
      <c r="E25" s="899">
        <f t="shared" si="1"/>
        <v>-1907588</v>
      </c>
      <c r="F25" s="985">
        <v>0.12397626165284048</v>
      </c>
      <c r="G25" s="914">
        <f t="shared" si="2"/>
        <v>-48783.469105092561</v>
      </c>
      <c r="H25" s="914">
        <f t="shared" si="3"/>
        <v>-236495.62901381866</v>
      </c>
      <c r="I25" s="899">
        <f t="shared" si="4"/>
        <v>187712.15990872611</v>
      </c>
      <c r="N25" s="891"/>
      <c r="O25" s="891"/>
      <c r="P25" s="891"/>
      <c r="Q25" s="891"/>
    </row>
    <row r="26" spans="1:17">
      <c r="A26" s="880">
        <f t="shared" si="5"/>
        <v>6</v>
      </c>
      <c r="B26" s="880" t="s">
        <v>839</v>
      </c>
      <c r="C26" s="918">
        <f>I47</f>
        <v>-11437962.325379781</v>
      </c>
      <c r="D26" s="919">
        <f t="shared" si="0"/>
        <v>0.27218679315089095</v>
      </c>
      <c r="E26" s="899">
        <f t="shared" si="1"/>
        <v>-55449686</v>
      </c>
      <c r="F26" s="985">
        <v>0.15100284283719081</v>
      </c>
      <c r="G26" s="914">
        <f t="shared" si="2"/>
        <v>-1727164.8273970326</v>
      </c>
      <c r="H26" s="914">
        <f t="shared" si="3"/>
        <v>-8373060.2204295797</v>
      </c>
      <c r="I26" s="899">
        <f t="shared" si="4"/>
        <v>6645895.3930325471</v>
      </c>
      <c r="N26" s="891"/>
      <c r="O26" s="891"/>
      <c r="P26" s="891"/>
      <c r="Q26" s="891"/>
    </row>
    <row r="27" spans="1:17">
      <c r="A27" s="880">
        <f t="shared" si="5"/>
        <v>7</v>
      </c>
      <c r="B27" s="880" t="s">
        <v>840</v>
      </c>
      <c r="C27" s="920">
        <f>J47</f>
        <v>-872603.71970525081</v>
      </c>
      <c r="D27" s="919">
        <f t="shared" si="0"/>
        <v>2.0765167903298274E-2</v>
      </c>
      <c r="E27" s="921">
        <f t="shared" si="1"/>
        <v>-4230264</v>
      </c>
      <c r="F27" s="1089">
        <v>2.4194780770061278E-2</v>
      </c>
      <c r="G27" s="922">
        <f t="shared" si="2"/>
        <v>-21112.455697408543</v>
      </c>
      <c r="H27" s="922">
        <f t="shared" si="3"/>
        <v>-102350.3100794825</v>
      </c>
      <c r="I27" s="921">
        <f t="shared" si="4"/>
        <v>81237.854382073958</v>
      </c>
      <c r="N27" s="891"/>
      <c r="O27" s="891"/>
      <c r="P27" s="891"/>
      <c r="Q27" s="891"/>
    </row>
    <row r="28" spans="1:17">
      <c r="A28" s="880">
        <f t="shared" si="5"/>
        <v>8</v>
      </c>
      <c r="B28" s="890" t="str">
        <f>"Sum of Lines "&amp;A22&amp;" to "&amp;A27&amp;""</f>
        <v>Sum of Lines 2 to 7</v>
      </c>
      <c r="C28" s="899">
        <f>SUM(C22:C27)</f>
        <v>-42022473.585038975</v>
      </c>
      <c r="E28" s="914">
        <f>+E12</f>
        <v>-203719238.61753508</v>
      </c>
      <c r="F28" s="914"/>
      <c r="G28" s="914">
        <f>SUM(G22:G27)</f>
        <v>-4530112.4447017992</v>
      </c>
      <c r="H28" s="914">
        <f>SUM(H22:H27)</f>
        <v>-21961369.151044793</v>
      </c>
      <c r="I28" s="914">
        <f>SUM(I22:I27)</f>
        <v>17431256.706342999</v>
      </c>
      <c r="N28" s="891"/>
      <c r="O28" s="891"/>
      <c r="P28" s="891"/>
      <c r="Q28" s="891"/>
    </row>
    <row r="29" spans="1:17">
      <c r="C29" s="899"/>
      <c r="N29" s="891"/>
      <c r="O29" s="891"/>
      <c r="P29" s="891"/>
      <c r="Q29" s="891"/>
    </row>
    <row r="30" spans="1:17">
      <c r="N30" s="891"/>
      <c r="O30" s="891"/>
      <c r="P30" s="891"/>
      <c r="Q30" s="891"/>
    </row>
    <row r="31" spans="1:17">
      <c r="F31" s="880" t="s">
        <v>114</v>
      </c>
      <c r="J31" s="891"/>
      <c r="K31" s="891"/>
      <c r="L31" s="891"/>
      <c r="M31" s="891"/>
      <c r="N31" s="891"/>
      <c r="O31" s="891"/>
      <c r="P31" s="891"/>
      <c r="Q31" s="891"/>
    </row>
    <row r="32" spans="1:17" ht="15.75">
      <c r="F32" s="991"/>
      <c r="J32" s="891"/>
      <c r="K32" s="891"/>
      <c r="L32" s="891"/>
      <c r="M32" s="891"/>
      <c r="N32" s="891"/>
      <c r="O32" s="891"/>
      <c r="P32" s="891"/>
      <c r="Q32" s="891"/>
    </row>
    <row r="33" spans="1:17">
      <c r="B33" s="893" t="s">
        <v>849</v>
      </c>
      <c r="F33" s="894"/>
      <c r="J33" s="891"/>
      <c r="K33" s="891"/>
      <c r="L33" s="891"/>
      <c r="M33" s="891"/>
      <c r="N33" s="891"/>
      <c r="O33" s="891"/>
      <c r="P33" s="891"/>
      <c r="Q33" s="891"/>
    </row>
    <row r="34" spans="1:17">
      <c r="E34" s="894"/>
      <c r="I34" s="895"/>
      <c r="J34" s="891"/>
      <c r="K34" s="891"/>
      <c r="L34" s="891"/>
      <c r="M34" s="891"/>
      <c r="N34" s="891"/>
      <c r="O34" s="891"/>
      <c r="P34" s="891"/>
      <c r="Q34" s="891"/>
    </row>
    <row r="35" spans="1:17">
      <c r="D35" s="896" t="s">
        <v>835</v>
      </c>
      <c r="E35" s="897"/>
      <c r="F35" s="896" t="s">
        <v>836</v>
      </c>
      <c r="G35" s="896" t="s">
        <v>837</v>
      </c>
      <c r="H35" s="896" t="s">
        <v>841</v>
      </c>
      <c r="I35" s="898" t="s">
        <v>839</v>
      </c>
      <c r="J35" s="898" t="s">
        <v>840</v>
      </c>
      <c r="K35" s="898" t="s">
        <v>842</v>
      </c>
      <c r="L35" s="891"/>
      <c r="M35" s="891"/>
      <c r="N35" s="891"/>
      <c r="O35" s="891"/>
      <c r="P35" s="891"/>
      <c r="Q35" s="891"/>
    </row>
    <row r="36" spans="1:17">
      <c r="E36" s="891"/>
      <c r="I36" s="891"/>
      <c r="J36" s="891"/>
      <c r="K36" s="891"/>
      <c r="L36" s="891"/>
      <c r="M36" s="891"/>
      <c r="N36" s="891"/>
      <c r="O36" s="891"/>
      <c r="P36" s="891"/>
      <c r="Q36" s="891"/>
    </row>
    <row r="37" spans="1:17">
      <c r="A37" s="880">
        <f>+A28+1</f>
        <v>9</v>
      </c>
      <c r="B37" s="880" t="s">
        <v>843</v>
      </c>
      <c r="D37" s="1023">
        <v>-11724907</v>
      </c>
      <c r="E37" s="1024"/>
      <c r="F37" s="1023">
        <v>-9493012</v>
      </c>
      <c r="G37" s="1023">
        <v>-2659203</v>
      </c>
      <c r="H37" s="1023">
        <v>-312354</v>
      </c>
      <c r="I37" s="1023">
        <v>-8286927</v>
      </c>
      <c r="J37" s="1023">
        <v>-605514</v>
      </c>
      <c r="K37" s="894">
        <f>SUM(D37:J37)</f>
        <v>-33081917</v>
      </c>
      <c r="L37" s="891" t="s">
        <v>114</v>
      </c>
      <c r="M37" s="891"/>
      <c r="N37" s="891"/>
      <c r="O37" s="891"/>
      <c r="P37" s="891"/>
      <c r="Q37" s="891"/>
    </row>
    <row r="38" spans="1:17">
      <c r="D38" s="899"/>
      <c r="E38" s="891"/>
      <c r="F38" s="899"/>
      <c r="G38" s="899"/>
      <c r="H38" s="899"/>
      <c r="I38" s="899"/>
      <c r="J38" s="899"/>
    </row>
    <row r="39" spans="1:17">
      <c r="A39" s="880">
        <f>+A37+1</f>
        <v>10</v>
      </c>
      <c r="B39" s="1322" t="s">
        <v>844</v>
      </c>
      <c r="C39" s="1322"/>
      <c r="D39" s="1023">
        <v>321470.5500000082</v>
      </c>
      <c r="E39" s="1024"/>
      <c r="F39" s="1023">
        <v>1061571.0399999991</v>
      </c>
      <c r="G39" s="1023">
        <v>-144047.14999999758</v>
      </c>
      <c r="H39" s="1023">
        <v>0</v>
      </c>
      <c r="I39" s="1023">
        <v>-0.23999999836087227</v>
      </c>
      <c r="J39" s="1023">
        <v>144047.03000000009</v>
      </c>
      <c r="K39" s="894"/>
      <c r="L39" s="891"/>
      <c r="M39" s="891"/>
      <c r="N39" s="891"/>
      <c r="O39" s="891"/>
      <c r="P39" s="891"/>
      <c r="Q39" s="891"/>
    </row>
    <row r="40" spans="1:17">
      <c r="B40" s="1322"/>
      <c r="C40" s="1322"/>
      <c r="D40" s="894"/>
      <c r="E40" s="891"/>
      <c r="F40" s="894"/>
      <c r="G40" s="894"/>
      <c r="H40" s="894"/>
      <c r="I40" s="894"/>
      <c r="J40" s="894"/>
      <c r="L40" s="891"/>
      <c r="M40" s="891"/>
      <c r="N40" s="891"/>
      <c r="O40" s="891"/>
      <c r="P40" s="891"/>
      <c r="Q40" s="891"/>
    </row>
    <row r="41" spans="1:17">
      <c r="A41" s="880">
        <f>+A39+1</f>
        <v>11</v>
      </c>
      <c r="B41" s="880" t="s">
        <v>845</v>
      </c>
      <c r="D41" s="1023"/>
      <c r="E41" s="1024"/>
      <c r="F41" s="1023"/>
      <c r="G41" s="1023"/>
      <c r="H41" s="1023"/>
      <c r="I41" s="1023"/>
      <c r="J41" s="1023"/>
      <c r="K41" s="894">
        <f>SUM(D41:J41)</f>
        <v>0</v>
      </c>
      <c r="L41" s="891"/>
      <c r="M41" s="891"/>
      <c r="N41" s="891"/>
      <c r="O41" s="891"/>
      <c r="P41" s="891"/>
      <c r="Q41" s="891"/>
    </row>
    <row r="42" spans="1:17">
      <c r="D42" s="901"/>
      <c r="E42" s="902"/>
      <c r="F42" s="901"/>
      <c r="G42" s="901"/>
      <c r="H42" s="901"/>
      <c r="I42" s="902"/>
      <c r="J42" s="902"/>
      <c r="K42" s="901"/>
      <c r="L42" s="891"/>
      <c r="M42" s="891"/>
      <c r="N42" s="891"/>
      <c r="O42" s="891"/>
      <c r="P42" s="891"/>
      <c r="Q42" s="891"/>
    </row>
    <row r="43" spans="1:17">
      <c r="A43" s="880">
        <f>+A41+1</f>
        <v>12</v>
      </c>
      <c r="B43" s="880" t="str">
        <f>"Net Company Expense (Ln "&amp;A37&amp;" + Ln "&amp;A39&amp;" + Ln  "&amp;A41&amp;")"</f>
        <v>Net Company Expense (Ln 9 + Ln 10 + Ln  11)</v>
      </c>
      <c r="D43" s="894">
        <f t="shared" ref="D43:J43" si="6">+D37+D41+D39</f>
        <v>-11403436.449999992</v>
      </c>
      <c r="E43" s="895"/>
      <c r="F43" s="894">
        <f t="shared" si="6"/>
        <v>-8431440.9600000009</v>
      </c>
      <c r="G43" s="894">
        <f t="shared" si="6"/>
        <v>-2803250.1499999976</v>
      </c>
      <c r="H43" s="894">
        <f t="shared" si="6"/>
        <v>-312354</v>
      </c>
      <c r="I43" s="894">
        <f t="shared" si="6"/>
        <v>-8286927.2399999984</v>
      </c>
      <c r="J43" s="894">
        <f t="shared" si="6"/>
        <v>-461466.96999999991</v>
      </c>
      <c r="K43" s="894">
        <f>SUM(D43:J43)</f>
        <v>-31698875.769999988</v>
      </c>
      <c r="L43" s="891"/>
      <c r="M43" s="891"/>
      <c r="N43" s="891"/>
      <c r="O43" s="891"/>
      <c r="P43" s="891"/>
      <c r="Q43" s="891"/>
    </row>
    <row r="44" spans="1:17">
      <c r="E44" s="891"/>
      <c r="G44" s="894">
        <f>+G40+G42</f>
        <v>0</v>
      </c>
      <c r="I44" s="891"/>
      <c r="J44" s="891"/>
      <c r="L44" s="903"/>
      <c r="M44" s="891"/>
      <c r="N44" s="891"/>
      <c r="O44" s="891"/>
      <c r="P44" s="891"/>
      <c r="Q44" s="891"/>
    </row>
    <row r="45" spans="1:17">
      <c r="A45" s="880">
        <f>+A43+1</f>
        <v>13</v>
      </c>
      <c r="B45" s="1322" t="s">
        <v>846</v>
      </c>
      <c r="C45" s="1322"/>
      <c r="D45" s="1023">
        <v>-3898083.2088364419</v>
      </c>
      <c r="E45" s="1024"/>
      <c r="F45" s="1023">
        <v>-2110917.1541485414</v>
      </c>
      <c r="G45" s="1023">
        <v>-671289.21441354265</v>
      </c>
      <c r="H45" s="1023">
        <v>-81136.402555422246</v>
      </c>
      <c r="I45" s="1023">
        <v>-3151035.0853797835</v>
      </c>
      <c r="J45" s="1023">
        <v>-411136.7497052509</v>
      </c>
      <c r="K45" s="894">
        <f>SUM(D45:J45)</f>
        <v>-10323597.815038983</v>
      </c>
      <c r="L45" s="904" t="s">
        <v>114</v>
      </c>
      <c r="M45" s="891"/>
      <c r="N45" s="891"/>
      <c r="O45" s="891"/>
      <c r="P45" s="891"/>
      <c r="Q45" s="891"/>
    </row>
    <row r="46" spans="1:17">
      <c r="B46" s="1322"/>
      <c r="C46" s="1322"/>
      <c r="E46" s="891"/>
      <c r="I46" s="891"/>
      <c r="J46" s="891"/>
      <c r="L46" s="891"/>
      <c r="M46" s="891"/>
      <c r="N46" s="891"/>
      <c r="O46" s="891"/>
      <c r="P46" s="891"/>
      <c r="Q46" s="891"/>
    </row>
    <row r="47" spans="1:17" ht="13.5" thickBot="1">
      <c r="A47" s="880">
        <f>+A45+1</f>
        <v>14</v>
      </c>
      <c r="B47" s="880" t="str">
        <f>"Company PBOP Expense (Ln "&amp;A43&amp;" + Ln  "&amp;A45&amp;")"</f>
        <v>Company PBOP Expense (Ln 12 + Ln  13)</v>
      </c>
      <c r="D47" s="905">
        <f>+D45+D41+D39+D37</f>
        <v>-15301519.658836434</v>
      </c>
      <c r="E47" s="906"/>
      <c r="F47" s="905">
        <f>+F45+F41+F39+F37</f>
        <v>-10542358.114148542</v>
      </c>
      <c r="G47" s="905">
        <f>+G45+G41+G39+G37</f>
        <v>-3474539.3644135403</v>
      </c>
      <c r="H47" s="905">
        <f>+H45+H41+H39+H37</f>
        <v>-393490.40255542228</v>
      </c>
      <c r="I47" s="905">
        <f>+I45+I41+I39+I37</f>
        <v>-11437962.325379781</v>
      </c>
      <c r="J47" s="905">
        <f>+J45+J41+J39+J37</f>
        <v>-872603.71970525081</v>
      </c>
      <c r="K47" s="907">
        <f>SUM(D47:J47)</f>
        <v>-42022473.585038975</v>
      </c>
      <c r="L47" s="891"/>
      <c r="M47" s="891"/>
      <c r="N47" s="891"/>
      <c r="O47" s="891"/>
      <c r="P47" s="891"/>
      <c r="Q47" s="891"/>
    </row>
    <row r="48" spans="1:17" ht="13.5" thickTop="1">
      <c r="I48" s="891"/>
      <c r="J48" s="891"/>
      <c r="K48" s="891"/>
      <c r="L48" s="891"/>
      <c r="M48" s="891"/>
      <c r="N48" s="891"/>
      <c r="O48" s="891"/>
      <c r="P48" s="891"/>
      <c r="Q48" s="891"/>
    </row>
    <row r="49" spans="1:19">
      <c r="A49" s="1323" t="s">
        <v>847</v>
      </c>
      <c r="B49" s="1323"/>
      <c r="C49" s="1323"/>
      <c r="D49" s="1323"/>
      <c r="E49" s="1323"/>
      <c r="F49" s="1323"/>
      <c r="G49" s="1323"/>
      <c r="H49" s="1323"/>
      <c r="I49" s="1323"/>
      <c r="J49" s="1323"/>
      <c r="K49" s="1323"/>
      <c r="L49" s="908"/>
      <c r="M49" s="891"/>
      <c r="N49" s="891"/>
      <c r="O49" s="891"/>
      <c r="P49" s="891"/>
      <c r="Q49" s="891"/>
    </row>
    <row r="50" spans="1:19">
      <c r="A50" s="1323"/>
      <c r="B50" s="1323"/>
      <c r="C50" s="1323"/>
      <c r="D50" s="1323"/>
      <c r="E50" s="1323"/>
      <c r="F50" s="1323"/>
      <c r="G50" s="1323"/>
      <c r="H50" s="1323"/>
      <c r="I50" s="1323"/>
      <c r="J50" s="1323"/>
      <c r="K50" s="1323"/>
      <c r="L50" s="891"/>
      <c r="M50" s="891"/>
      <c r="N50" s="891"/>
      <c r="O50" s="891"/>
      <c r="P50" s="891"/>
      <c r="Q50" s="891"/>
    </row>
    <row r="51" spans="1:19">
      <c r="A51" s="1323"/>
      <c r="B51" s="1323"/>
      <c r="C51" s="1323"/>
      <c r="D51" s="1323"/>
      <c r="E51" s="1323"/>
      <c r="F51" s="1323"/>
      <c r="G51" s="1323"/>
      <c r="H51" s="1323"/>
      <c r="I51" s="1323"/>
      <c r="J51" s="1323"/>
      <c r="K51" s="1323"/>
      <c r="L51" s="891"/>
      <c r="M51" s="891"/>
      <c r="N51" s="891"/>
      <c r="O51" s="891"/>
      <c r="P51" s="891"/>
      <c r="Q51" s="891"/>
    </row>
    <row r="52" spans="1:19">
      <c r="A52" s="1323"/>
      <c r="B52" s="1323"/>
      <c r="C52" s="1323"/>
      <c r="D52" s="1323"/>
      <c r="E52" s="1323"/>
      <c r="F52" s="1323"/>
      <c r="G52" s="1323"/>
      <c r="H52" s="1323"/>
      <c r="I52" s="1323"/>
      <c r="J52" s="1323"/>
      <c r="K52" s="1323"/>
      <c r="Q52" s="891"/>
    </row>
    <row r="53" spans="1:19">
      <c r="A53" s="1323"/>
      <c r="B53" s="1323"/>
      <c r="C53" s="1323"/>
      <c r="D53" s="1323"/>
      <c r="E53" s="1323"/>
      <c r="F53" s="1323"/>
      <c r="G53" s="1323"/>
      <c r="H53" s="1323"/>
      <c r="I53" s="1323"/>
      <c r="J53" s="1323"/>
      <c r="K53" s="1323"/>
      <c r="Q53" s="891"/>
    </row>
    <row r="54" spans="1:19">
      <c r="A54" s="1323"/>
      <c r="B54" s="1323"/>
      <c r="C54" s="1323"/>
      <c r="D54" s="1323"/>
      <c r="E54" s="1323"/>
      <c r="F54" s="1323"/>
      <c r="G54" s="1323"/>
      <c r="H54" s="1323"/>
      <c r="I54" s="1323"/>
      <c r="J54" s="1323"/>
      <c r="K54" s="1323"/>
      <c r="Q54" s="891"/>
    </row>
    <row r="55" spans="1:19">
      <c r="A55" s="1323"/>
      <c r="B55" s="1323"/>
      <c r="C55" s="1323"/>
      <c r="D55" s="1323"/>
      <c r="E55" s="1323"/>
      <c r="F55" s="1323"/>
      <c r="G55" s="1323"/>
      <c r="H55" s="1323"/>
      <c r="I55" s="1323"/>
      <c r="J55" s="1323"/>
      <c r="K55" s="1323"/>
      <c r="Q55" s="891"/>
    </row>
    <row r="56" spans="1:19">
      <c r="A56" s="1323"/>
      <c r="B56" s="1323"/>
      <c r="C56" s="1323"/>
      <c r="D56" s="1323"/>
      <c r="E56" s="1323"/>
      <c r="F56" s="1323"/>
      <c r="G56" s="1323"/>
      <c r="H56" s="1323"/>
      <c r="I56" s="1323"/>
      <c r="J56" s="1323"/>
      <c r="K56" s="1323"/>
      <c r="Q56" s="891"/>
    </row>
    <row r="57" spans="1:19">
      <c r="A57" s="1323"/>
      <c r="B57" s="1323"/>
      <c r="C57" s="1323"/>
      <c r="D57" s="1323"/>
      <c r="E57" s="1323"/>
      <c r="F57" s="1323"/>
      <c r="G57" s="1323"/>
      <c r="H57" s="1323"/>
      <c r="I57" s="1323"/>
      <c r="J57" s="1323"/>
      <c r="K57" s="1323"/>
      <c r="Q57" s="891"/>
    </row>
    <row r="58" spans="1:19">
      <c r="Q58" s="909"/>
    </row>
    <row r="59" spans="1:19" ht="18.75" customHeight="1"/>
    <row r="60" spans="1:19" ht="12.75" customHeight="1">
      <c r="Q60" s="910"/>
      <c r="R60" s="910"/>
      <c r="S60" s="910"/>
    </row>
    <row r="61" spans="1:19" ht="68.25" customHeight="1"/>
    <row r="72" ht="39.75" customHeight="1"/>
    <row r="81" spans="17:22" ht="15.75" customHeight="1">
      <c r="Q81" s="911"/>
      <c r="R81" s="911"/>
      <c r="S81" s="911"/>
      <c r="T81" s="911"/>
      <c r="U81" s="911"/>
      <c r="V81" s="899"/>
    </row>
    <row r="82" spans="17:22" ht="6" customHeight="1">
      <c r="Q82" s="911"/>
      <c r="R82" s="911"/>
      <c r="S82" s="911"/>
      <c r="T82" s="911"/>
      <c r="U82" s="911"/>
      <c r="V82" s="899"/>
    </row>
    <row r="83" spans="17:22">
      <c r="Q83" s="911"/>
      <c r="R83" s="911"/>
      <c r="S83" s="911"/>
      <c r="T83" s="911"/>
      <c r="U83" s="911"/>
      <c r="V83" s="899"/>
    </row>
    <row r="84" spans="17:22" ht="6" customHeight="1">
      <c r="Q84" s="911"/>
      <c r="R84" s="911"/>
      <c r="S84" s="911"/>
      <c r="T84" s="911"/>
      <c r="U84" s="911"/>
      <c r="V84" s="899"/>
    </row>
    <row r="85" spans="17:22">
      <c r="Q85" s="911"/>
      <c r="R85" s="911"/>
      <c r="S85" s="911"/>
      <c r="T85" s="911"/>
      <c r="U85" s="911"/>
      <c r="V85" s="899"/>
    </row>
    <row r="86" spans="17:22" ht="12.75" customHeight="1">
      <c r="Q86" s="911"/>
      <c r="R86" s="911"/>
      <c r="S86" s="911"/>
      <c r="T86" s="911"/>
      <c r="U86" s="911"/>
      <c r="V86" s="899"/>
    </row>
    <row r="87" spans="17:22" ht="6.75" customHeight="1">
      <c r="Q87" s="911"/>
      <c r="R87" s="911"/>
      <c r="S87" s="911"/>
      <c r="T87" s="911"/>
      <c r="U87" s="911"/>
      <c r="V87" s="899"/>
    </row>
    <row r="88" spans="17:22">
      <c r="Q88" s="911"/>
      <c r="R88" s="911"/>
      <c r="S88" s="911"/>
      <c r="T88" s="911"/>
      <c r="U88" s="911"/>
      <c r="V88" s="899"/>
    </row>
    <row r="89" spans="17:22">
      <c r="Q89" s="911"/>
      <c r="R89" s="911"/>
      <c r="S89" s="911"/>
      <c r="T89" s="911"/>
      <c r="U89" s="899"/>
    </row>
    <row r="90" spans="17:22">
      <c r="Q90" s="911"/>
      <c r="R90" s="911"/>
      <c r="S90" s="911"/>
      <c r="T90" s="911"/>
      <c r="U90" s="899"/>
    </row>
    <row r="91" spans="17:22">
      <c r="Q91" s="911"/>
      <c r="R91" s="911"/>
      <c r="S91" s="911"/>
      <c r="T91" s="911"/>
      <c r="U91" s="899"/>
    </row>
    <row r="92" spans="17:22">
      <c r="Q92" s="909"/>
      <c r="R92" s="909"/>
    </row>
    <row r="93" spans="17:22">
      <c r="Q93" s="909"/>
    </row>
    <row r="95" spans="17:22" ht="12.75" customHeight="1"/>
    <row r="96" spans="17:22" ht="12.75" customHeight="1"/>
    <row r="97" ht="12.75" customHeight="1"/>
    <row r="98" ht="12.75" customHeight="1"/>
    <row r="104" ht="14.25" customHeight="1"/>
    <row r="105" ht="14.25" customHeight="1"/>
    <row r="112" ht="12.75" customHeight="1"/>
    <row r="113" ht="12.75" customHeight="1"/>
    <row r="114" ht="12.75" customHeight="1"/>
    <row r="115" ht="12.75" customHeight="1"/>
    <row r="116" ht="15.75" customHeight="1"/>
    <row r="129" ht="12.75" customHeight="1"/>
    <row r="130" ht="12.75" customHeight="1"/>
    <row r="132" ht="12.75" customHeight="1"/>
    <row r="146" ht="12.75" customHeight="1"/>
    <row r="147" ht="12.75" customHeight="1"/>
    <row r="149" ht="12.75" customHeight="1"/>
    <row r="164" ht="12.75" customHeight="1"/>
    <row r="165" ht="12.75" customHeight="1"/>
    <row r="166" ht="12.75" customHeight="1"/>
    <row r="182" spans="13:13">
      <c r="M182" s="899"/>
    </row>
    <row r="183" spans="13:13">
      <c r="M183" s="912"/>
    </row>
    <row r="184" spans="13:13">
      <c r="M184" s="900"/>
    </row>
    <row r="185" spans="13:13" ht="12.75" customHeight="1">
      <c r="M185" s="900"/>
    </row>
    <row r="186" spans="13:13">
      <c r="M186" s="900"/>
    </row>
    <row r="187" spans="13:13">
      <c r="M187" s="900"/>
    </row>
    <row r="188" spans="13:13">
      <c r="M188" s="913"/>
    </row>
    <row r="189" spans="13:13">
      <c r="M189" s="913"/>
    </row>
    <row r="190" spans="13:13">
      <c r="M190" s="899"/>
    </row>
    <row r="191" spans="13:13">
      <c r="M191" s="899"/>
    </row>
    <row r="192" spans="13:13">
      <c r="M192" s="899"/>
    </row>
    <row r="193" spans="13:13">
      <c r="M193" s="899"/>
    </row>
    <row r="194" spans="13:13">
      <c r="M194" s="899"/>
    </row>
    <row r="195" spans="13:13">
      <c r="M195" s="899"/>
    </row>
    <row r="196" spans="13:13">
      <c r="M196" s="899"/>
    </row>
    <row r="197" spans="13:13">
      <c r="M197" s="914"/>
    </row>
    <row r="199" spans="13:13">
      <c r="M199" s="899"/>
    </row>
    <row r="204" spans="13:13">
      <c r="M204" s="899"/>
    </row>
    <row r="205" spans="13:13">
      <c r="M205" s="912"/>
    </row>
    <row r="206" spans="13:13">
      <c r="M206" s="900"/>
    </row>
    <row r="207" spans="13:13" ht="12.75" customHeight="1">
      <c r="M207" s="900"/>
    </row>
    <row r="208" spans="13:13">
      <c r="M208" s="900"/>
    </row>
    <row r="209" spans="13:13">
      <c r="M209" s="900"/>
    </row>
    <row r="210" spans="13:13">
      <c r="M210" s="913"/>
    </row>
    <row r="211" spans="13:13">
      <c r="M211" s="913"/>
    </row>
    <row r="212" spans="13:13">
      <c r="M212" s="899"/>
    </row>
    <row r="213" spans="13:13">
      <c r="M213" s="899"/>
    </row>
    <row r="214" spans="13:13">
      <c r="M214" s="899"/>
    </row>
    <row r="215" spans="13:13">
      <c r="M215" s="899"/>
    </row>
    <row r="216" spans="13:13">
      <c r="M216" s="899"/>
    </row>
    <row r="217" spans="13:13">
      <c r="M217" s="899"/>
    </row>
    <row r="218" spans="13:13">
      <c r="M218" s="899"/>
    </row>
    <row r="219" spans="13:13">
      <c r="M219" s="914"/>
    </row>
    <row r="221" spans="13:13">
      <c r="M221" s="899"/>
    </row>
    <row r="226" spans="13:13">
      <c r="M226" s="899"/>
    </row>
    <row r="227" spans="13:13">
      <c r="M227" s="912"/>
    </row>
    <row r="228" spans="13:13">
      <c r="M228" s="900"/>
    </row>
    <row r="229" spans="13:13" ht="12.75" customHeight="1">
      <c r="M229" s="900"/>
    </row>
    <row r="230" spans="13:13">
      <c r="M230" s="900"/>
    </row>
    <row r="231" spans="13:13">
      <c r="M231" s="900"/>
    </row>
    <row r="232" spans="13:13">
      <c r="M232" s="913"/>
    </row>
    <row r="233" spans="13:13">
      <c r="M233" s="913"/>
    </row>
    <row r="234" spans="13:13">
      <c r="M234" s="899"/>
    </row>
    <row r="235" spans="13:13">
      <c r="M235" s="899"/>
    </row>
    <row r="236" spans="13:13">
      <c r="M236" s="899"/>
    </row>
    <row r="237" spans="13:13">
      <c r="M237" s="899"/>
    </row>
    <row r="238" spans="13:13">
      <c r="M238" s="899"/>
    </row>
    <row r="239" spans="13:13">
      <c r="M239" s="899"/>
    </row>
    <row r="240" spans="13:13">
      <c r="M240" s="899"/>
    </row>
    <row r="241" spans="13:13">
      <c r="M241" s="914"/>
    </row>
    <row r="243" spans="13:13">
      <c r="M243" s="899"/>
    </row>
    <row r="248" spans="13:13">
      <c r="M248" s="899"/>
    </row>
    <row r="249" spans="13:13">
      <c r="M249" s="912"/>
    </row>
    <row r="250" spans="13:13">
      <c r="M250" s="900"/>
    </row>
    <row r="251" spans="13:13" ht="12.75" customHeight="1">
      <c r="M251" s="900"/>
    </row>
    <row r="252" spans="13:13">
      <c r="M252" s="900"/>
    </row>
    <row r="253" spans="13:13">
      <c r="M253" s="900"/>
    </row>
    <row r="254" spans="13:13">
      <c r="M254" s="913"/>
    </row>
    <row r="255" spans="13:13">
      <c r="M255" s="913"/>
    </row>
    <row r="256" spans="13:13">
      <c r="M256" s="899"/>
    </row>
    <row r="257" spans="13:13">
      <c r="M257" s="899"/>
    </row>
    <row r="258" spans="13:13">
      <c r="M258" s="899"/>
    </row>
    <row r="259" spans="13:13">
      <c r="M259" s="899"/>
    </row>
    <row r="260" spans="13:13">
      <c r="M260" s="899"/>
    </row>
    <row r="261" spans="13:13">
      <c r="M261" s="899"/>
    </row>
    <row r="262" spans="13:13">
      <c r="M262" s="899"/>
    </row>
    <row r="263" spans="13:13">
      <c r="M263" s="914"/>
    </row>
    <row r="265" spans="13:13">
      <c r="M265" s="899"/>
    </row>
    <row r="270" spans="13:13">
      <c r="M270" s="899"/>
    </row>
    <row r="271" spans="13:13">
      <c r="M271" s="912"/>
    </row>
    <row r="272" spans="13:13" ht="12.75" customHeight="1">
      <c r="M272" s="900"/>
    </row>
    <row r="273" spans="13:13" ht="12.75" customHeight="1">
      <c r="M273" s="900"/>
    </row>
    <row r="274" spans="13:13">
      <c r="M274" s="900"/>
    </row>
    <row r="275" spans="13:13" ht="12.75" customHeight="1">
      <c r="M275" s="900"/>
    </row>
    <row r="276" spans="13:13">
      <c r="M276" s="913"/>
    </row>
    <row r="277" spans="13:13">
      <c r="M277" s="913"/>
    </row>
    <row r="278" spans="13:13">
      <c r="M278" s="899"/>
    </row>
    <row r="279" spans="13:13">
      <c r="M279" s="899"/>
    </row>
    <row r="280" spans="13:13">
      <c r="M280" s="899"/>
    </row>
    <row r="281" spans="13:13">
      <c r="M281" s="899"/>
    </row>
    <row r="282" spans="13:13">
      <c r="M282" s="899"/>
    </row>
    <row r="283" spans="13:13">
      <c r="M283" s="899"/>
    </row>
    <row r="284" spans="13:13">
      <c r="M284" s="899"/>
    </row>
    <row r="285" spans="13:13">
      <c r="M285" s="914"/>
    </row>
    <row r="287" spans="13:13">
      <c r="M287" s="899"/>
    </row>
  </sheetData>
  <mergeCells count="16">
    <mergeCell ref="A3:K3"/>
    <mergeCell ref="A4:K4"/>
    <mergeCell ref="A5:K5"/>
    <mergeCell ref="A6:K6"/>
    <mergeCell ref="B9:M9"/>
    <mergeCell ref="B14:C14"/>
    <mergeCell ref="B39:C40"/>
    <mergeCell ref="B45:C46"/>
    <mergeCell ref="A49:K57"/>
    <mergeCell ref="C15:E15"/>
    <mergeCell ref="C16:C18"/>
    <mergeCell ref="D16:D18"/>
    <mergeCell ref="E16:E18"/>
    <mergeCell ref="I16:I18"/>
    <mergeCell ref="F17:F18"/>
    <mergeCell ref="H17:H18"/>
  </mergeCells>
  <pageMargins left="0.32" right="0.25" top="1" bottom="0.43" header="0.75" footer="0.17"/>
  <pageSetup scale="63" orientation="landscape" r:id="rId1"/>
  <headerFooter alignWithMargins="0">
    <oddHeader>&amp;R&amp;"Arial,Bold"Formula Rate 
&amp;A
Page &amp;P of &amp;N</oddHeader>
  </headerFooter>
  <rowBreaks count="4" manualBreakCount="4">
    <brk id="90" max="18" man="1"/>
    <brk id="126" max="18" man="1"/>
    <brk id="160" max="18" man="1"/>
    <brk id="242" min="1" max="6"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ransitionEvaluation="1" codeName="Sheet20">
    <pageSetUpPr autoPageBreaks="0" fitToPage="1"/>
  </sheetPr>
  <dimension ref="A1:S56"/>
  <sheetViews>
    <sheetView tabSelected="1" defaultGridColor="0" topLeftCell="A7" colorId="22" zoomScale="70" zoomScaleNormal="70" workbookViewId="0">
      <selection activeCell="F7" sqref="F7"/>
    </sheetView>
  </sheetViews>
  <sheetFormatPr defaultColWidth="14.7109375" defaultRowHeight="12.75"/>
  <cols>
    <col min="1" max="1" width="33.140625" customWidth="1"/>
    <col min="2" max="2" width="11" customWidth="1"/>
    <col min="3" max="3" width="16.85546875" customWidth="1"/>
    <col min="4" max="4" width="16.7109375" customWidth="1"/>
    <col min="5" max="5" width="14.7109375" customWidth="1"/>
    <col min="6" max="6" width="4.85546875" customWidth="1"/>
    <col min="7" max="7" width="14.7109375" customWidth="1"/>
    <col min="8" max="8" width="18.28515625" customWidth="1"/>
    <col min="9" max="9" width="15.5703125" customWidth="1"/>
    <col min="10" max="10" width="6.140625" customWidth="1"/>
    <col min="11" max="11" width="14.7109375" customWidth="1"/>
    <col min="12" max="12" width="16.140625" customWidth="1"/>
    <col min="13" max="13" width="14.7109375" customWidth="1"/>
    <col min="14" max="14" width="4.85546875" customWidth="1"/>
    <col min="15" max="15" width="18.5703125" customWidth="1"/>
    <col min="257" max="257" width="33.140625" customWidth="1"/>
    <col min="258" max="258" width="11" customWidth="1"/>
    <col min="259" max="259" width="16.85546875" customWidth="1"/>
    <col min="260" max="260" width="16.7109375" customWidth="1"/>
    <col min="261" max="261" width="14.7109375" customWidth="1"/>
    <col min="262" max="262" width="4.85546875" customWidth="1"/>
    <col min="263" max="263" width="14.7109375" customWidth="1"/>
    <col min="264" max="264" width="18.28515625" customWidth="1"/>
    <col min="265" max="265" width="15.5703125" customWidth="1"/>
    <col min="266" max="266" width="6.140625" customWidth="1"/>
    <col min="267" max="267" width="14.7109375" customWidth="1"/>
    <col min="268" max="268" width="16.140625" customWidth="1"/>
    <col min="269" max="269" width="14.7109375" customWidth="1"/>
    <col min="270" max="270" width="4.85546875" customWidth="1"/>
    <col min="271" max="271" width="18.5703125" customWidth="1"/>
    <col min="513" max="513" width="33.140625" customWidth="1"/>
    <col min="514" max="514" width="11" customWidth="1"/>
    <col min="515" max="515" width="16.85546875" customWidth="1"/>
    <col min="516" max="516" width="16.7109375" customWidth="1"/>
    <col min="517" max="517" width="14.7109375" customWidth="1"/>
    <col min="518" max="518" width="4.85546875" customWidth="1"/>
    <col min="519" max="519" width="14.7109375" customWidth="1"/>
    <col min="520" max="520" width="18.28515625" customWidth="1"/>
    <col min="521" max="521" width="15.5703125" customWidth="1"/>
    <col min="522" max="522" width="6.140625" customWidth="1"/>
    <col min="523" max="523" width="14.7109375" customWidth="1"/>
    <col min="524" max="524" width="16.140625" customWidth="1"/>
    <col min="525" max="525" width="14.7109375" customWidth="1"/>
    <col min="526" max="526" width="4.85546875" customWidth="1"/>
    <col min="527" max="527" width="18.5703125" customWidth="1"/>
    <col min="769" max="769" width="33.140625" customWidth="1"/>
    <col min="770" max="770" width="11" customWidth="1"/>
    <col min="771" max="771" width="16.85546875" customWidth="1"/>
    <col min="772" max="772" width="16.7109375" customWidth="1"/>
    <col min="773" max="773" width="14.7109375" customWidth="1"/>
    <col min="774" max="774" width="4.85546875" customWidth="1"/>
    <col min="775" max="775" width="14.7109375" customWidth="1"/>
    <col min="776" max="776" width="18.28515625" customWidth="1"/>
    <col min="777" max="777" width="15.5703125" customWidth="1"/>
    <col min="778" max="778" width="6.140625" customWidth="1"/>
    <col min="779" max="779" width="14.7109375" customWidth="1"/>
    <col min="780" max="780" width="16.140625" customWidth="1"/>
    <col min="781" max="781" width="14.7109375" customWidth="1"/>
    <col min="782" max="782" width="4.85546875" customWidth="1"/>
    <col min="783" max="783" width="18.5703125" customWidth="1"/>
    <col min="1025" max="1025" width="33.140625" customWidth="1"/>
    <col min="1026" max="1026" width="11" customWidth="1"/>
    <col min="1027" max="1027" width="16.85546875" customWidth="1"/>
    <col min="1028" max="1028" width="16.7109375" customWidth="1"/>
    <col min="1029" max="1029" width="14.7109375" customWidth="1"/>
    <col min="1030" max="1030" width="4.85546875" customWidth="1"/>
    <col min="1031" max="1031" width="14.7109375" customWidth="1"/>
    <col min="1032" max="1032" width="18.28515625" customWidth="1"/>
    <col min="1033" max="1033" width="15.5703125" customWidth="1"/>
    <col min="1034" max="1034" width="6.140625" customWidth="1"/>
    <col min="1035" max="1035" width="14.7109375" customWidth="1"/>
    <col min="1036" max="1036" width="16.140625" customWidth="1"/>
    <col min="1037" max="1037" width="14.7109375" customWidth="1"/>
    <col min="1038" max="1038" width="4.85546875" customWidth="1"/>
    <col min="1039" max="1039" width="18.5703125" customWidth="1"/>
    <col min="1281" max="1281" width="33.140625" customWidth="1"/>
    <col min="1282" max="1282" width="11" customWidth="1"/>
    <col min="1283" max="1283" width="16.85546875" customWidth="1"/>
    <col min="1284" max="1284" width="16.7109375" customWidth="1"/>
    <col min="1285" max="1285" width="14.7109375" customWidth="1"/>
    <col min="1286" max="1286" width="4.85546875" customWidth="1"/>
    <col min="1287" max="1287" width="14.7109375" customWidth="1"/>
    <col min="1288" max="1288" width="18.28515625" customWidth="1"/>
    <col min="1289" max="1289" width="15.5703125" customWidth="1"/>
    <col min="1290" max="1290" width="6.140625" customWidth="1"/>
    <col min="1291" max="1291" width="14.7109375" customWidth="1"/>
    <col min="1292" max="1292" width="16.140625" customWidth="1"/>
    <col min="1293" max="1293" width="14.7109375" customWidth="1"/>
    <col min="1294" max="1294" width="4.85546875" customWidth="1"/>
    <col min="1295" max="1295" width="18.5703125" customWidth="1"/>
    <col min="1537" max="1537" width="33.140625" customWidth="1"/>
    <col min="1538" max="1538" width="11" customWidth="1"/>
    <col min="1539" max="1539" width="16.85546875" customWidth="1"/>
    <col min="1540" max="1540" width="16.7109375" customWidth="1"/>
    <col min="1541" max="1541" width="14.7109375" customWidth="1"/>
    <col min="1542" max="1542" width="4.85546875" customWidth="1"/>
    <col min="1543" max="1543" width="14.7109375" customWidth="1"/>
    <col min="1544" max="1544" width="18.28515625" customWidth="1"/>
    <col min="1545" max="1545" width="15.5703125" customWidth="1"/>
    <col min="1546" max="1546" width="6.140625" customWidth="1"/>
    <col min="1547" max="1547" width="14.7109375" customWidth="1"/>
    <col min="1548" max="1548" width="16.140625" customWidth="1"/>
    <col min="1549" max="1549" width="14.7109375" customWidth="1"/>
    <col min="1550" max="1550" width="4.85546875" customWidth="1"/>
    <col min="1551" max="1551" width="18.5703125" customWidth="1"/>
    <col min="1793" max="1793" width="33.140625" customWidth="1"/>
    <col min="1794" max="1794" width="11" customWidth="1"/>
    <col min="1795" max="1795" width="16.85546875" customWidth="1"/>
    <col min="1796" max="1796" width="16.7109375" customWidth="1"/>
    <col min="1797" max="1797" width="14.7109375" customWidth="1"/>
    <col min="1798" max="1798" width="4.85546875" customWidth="1"/>
    <col min="1799" max="1799" width="14.7109375" customWidth="1"/>
    <col min="1800" max="1800" width="18.28515625" customWidth="1"/>
    <col min="1801" max="1801" width="15.5703125" customWidth="1"/>
    <col min="1802" max="1802" width="6.140625" customWidth="1"/>
    <col min="1803" max="1803" width="14.7109375" customWidth="1"/>
    <col min="1804" max="1804" width="16.140625" customWidth="1"/>
    <col min="1805" max="1805" width="14.7109375" customWidth="1"/>
    <col min="1806" max="1806" width="4.85546875" customWidth="1"/>
    <col min="1807" max="1807" width="18.5703125" customWidth="1"/>
    <col min="2049" max="2049" width="33.140625" customWidth="1"/>
    <col min="2050" max="2050" width="11" customWidth="1"/>
    <col min="2051" max="2051" width="16.85546875" customWidth="1"/>
    <col min="2052" max="2052" width="16.7109375" customWidth="1"/>
    <col min="2053" max="2053" width="14.7109375" customWidth="1"/>
    <col min="2054" max="2054" width="4.85546875" customWidth="1"/>
    <col min="2055" max="2055" width="14.7109375" customWidth="1"/>
    <col min="2056" max="2056" width="18.28515625" customWidth="1"/>
    <col min="2057" max="2057" width="15.5703125" customWidth="1"/>
    <col min="2058" max="2058" width="6.140625" customWidth="1"/>
    <col min="2059" max="2059" width="14.7109375" customWidth="1"/>
    <col min="2060" max="2060" width="16.140625" customWidth="1"/>
    <col min="2061" max="2061" width="14.7109375" customWidth="1"/>
    <col min="2062" max="2062" width="4.85546875" customWidth="1"/>
    <col min="2063" max="2063" width="18.5703125" customWidth="1"/>
    <col min="2305" max="2305" width="33.140625" customWidth="1"/>
    <col min="2306" max="2306" width="11" customWidth="1"/>
    <col min="2307" max="2307" width="16.85546875" customWidth="1"/>
    <col min="2308" max="2308" width="16.7109375" customWidth="1"/>
    <col min="2309" max="2309" width="14.7109375" customWidth="1"/>
    <col min="2310" max="2310" width="4.85546875" customWidth="1"/>
    <col min="2311" max="2311" width="14.7109375" customWidth="1"/>
    <col min="2312" max="2312" width="18.28515625" customWidth="1"/>
    <col min="2313" max="2313" width="15.5703125" customWidth="1"/>
    <col min="2314" max="2314" width="6.140625" customWidth="1"/>
    <col min="2315" max="2315" width="14.7109375" customWidth="1"/>
    <col min="2316" max="2316" width="16.140625" customWidth="1"/>
    <col min="2317" max="2317" width="14.7109375" customWidth="1"/>
    <col min="2318" max="2318" width="4.85546875" customWidth="1"/>
    <col min="2319" max="2319" width="18.5703125" customWidth="1"/>
    <col min="2561" max="2561" width="33.140625" customWidth="1"/>
    <col min="2562" max="2562" width="11" customWidth="1"/>
    <col min="2563" max="2563" width="16.85546875" customWidth="1"/>
    <col min="2564" max="2564" width="16.7109375" customWidth="1"/>
    <col min="2565" max="2565" width="14.7109375" customWidth="1"/>
    <col min="2566" max="2566" width="4.85546875" customWidth="1"/>
    <col min="2567" max="2567" width="14.7109375" customWidth="1"/>
    <col min="2568" max="2568" width="18.28515625" customWidth="1"/>
    <col min="2569" max="2569" width="15.5703125" customWidth="1"/>
    <col min="2570" max="2570" width="6.140625" customWidth="1"/>
    <col min="2571" max="2571" width="14.7109375" customWidth="1"/>
    <col min="2572" max="2572" width="16.140625" customWidth="1"/>
    <col min="2573" max="2573" width="14.7109375" customWidth="1"/>
    <col min="2574" max="2574" width="4.85546875" customWidth="1"/>
    <col min="2575" max="2575" width="18.5703125" customWidth="1"/>
    <col min="2817" max="2817" width="33.140625" customWidth="1"/>
    <col min="2818" max="2818" width="11" customWidth="1"/>
    <col min="2819" max="2819" width="16.85546875" customWidth="1"/>
    <col min="2820" max="2820" width="16.7109375" customWidth="1"/>
    <col min="2821" max="2821" width="14.7109375" customWidth="1"/>
    <col min="2822" max="2822" width="4.85546875" customWidth="1"/>
    <col min="2823" max="2823" width="14.7109375" customWidth="1"/>
    <col min="2824" max="2824" width="18.28515625" customWidth="1"/>
    <col min="2825" max="2825" width="15.5703125" customWidth="1"/>
    <col min="2826" max="2826" width="6.140625" customWidth="1"/>
    <col min="2827" max="2827" width="14.7109375" customWidth="1"/>
    <col min="2828" max="2828" width="16.140625" customWidth="1"/>
    <col min="2829" max="2829" width="14.7109375" customWidth="1"/>
    <col min="2830" max="2830" width="4.85546875" customWidth="1"/>
    <col min="2831" max="2831" width="18.5703125" customWidth="1"/>
    <col min="3073" max="3073" width="33.140625" customWidth="1"/>
    <col min="3074" max="3074" width="11" customWidth="1"/>
    <col min="3075" max="3075" width="16.85546875" customWidth="1"/>
    <col min="3076" max="3076" width="16.7109375" customWidth="1"/>
    <col min="3077" max="3077" width="14.7109375" customWidth="1"/>
    <col min="3078" max="3078" width="4.85546875" customWidth="1"/>
    <col min="3079" max="3079" width="14.7109375" customWidth="1"/>
    <col min="3080" max="3080" width="18.28515625" customWidth="1"/>
    <col min="3081" max="3081" width="15.5703125" customWidth="1"/>
    <col min="3082" max="3082" width="6.140625" customWidth="1"/>
    <col min="3083" max="3083" width="14.7109375" customWidth="1"/>
    <col min="3084" max="3084" width="16.140625" customWidth="1"/>
    <col min="3085" max="3085" width="14.7109375" customWidth="1"/>
    <col min="3086" max="3086" width="4.85546875" customWidth="1"/>
    <col min="3087" max="3087" width="18.5703125" customWidth="1"/>
    <col min="3329" max="3329" width="33.140625" customWidth="1"/>
    <col min="3330" max="3330" width="11" customWidth="1"/>
    <col min="3331" max="3331" width="16.85546875" customWidth="1"/>
    <col min="3332" max="3332" width="16.7109375" customWidth="1"/>
    <col min="3333" max="3333" width="14.7109375" customWidth="1"/>
    <col min="3334" max="3334" width="4.85546875" customWidth="1"/>
    <col min="3335" max="3335" width="14.7109375" customWidth="1"/>
    <col min="3336" max="3336" width="18.28515625" customWidth="1"/>
    <col min="3337" max="3337" width="15.5703125" customWidth="1"/>
    <col min="3338" max="3338" width="6.140625" customWidth="1"/>
    <col min="3339" max="3339" width="14.7109375" customWidth="1"/>
    <col min="3340" max="3340" width="16.140625" customWidth="1"/>
    <col min="3341" max="3341" width="14.7109375" customWidth="1"/>
    <col min="3342" max="3342" width="4.85546875" customWidth="1"/>
    <col min="3343" max="3343" width="18.5703125" customWidth="1"/>
    <col min="3585" max="3585" width="33.140625" customWidth="1"/>
    <col min="3586" max="3586" width="11" customWidth="1"/>
    <col min="3587" max="3587" width="16.85546875" customWidth="1"/>
    <col min="3588" max="3588" width="16.7109375" customWidth="1"/>
    <col min="3589" max="3589" width="14.7109375" customWidth="1"/>
    <col min="3590" max="3590" width="4.85546875" customWidth="1"/>
    <col min="3591" max="3591" width="14.7109375" customWidth="1"/>
    <col min="3592" max="3592" width="18.28515625" customWidth="1"/>
    <col min="3593" max="3593" width="15.5703125" customWidth="1"/>
    <col min="3594" max="3594" width="6.140625" customWidth="1"/>
    <col min="3595" max="3595" width="14.7109375" customWidth="1"/>
    <col min="3596" max="3596" width="16.140625" customWidth="1"/>
    <col min="3597" max="3597" width="14.7109375" customWidth="1"/>
    <col min="3598" max="3598" width="4.85546875" customWidth="1"/>
    <col min="3599" max="3599" width="18.5703125" customWidth="1"/>
    <col min="3841" max="3841" width="33.140625" customWidth="1"/>
    <col min="3842" max="3842" width="11" customWidth="1"/>
    <col min="3843" max="3843" width="16.85546875" customWidth="1"/>
    <col min="3844" max="3844" width="16.7109375" customWidth="1"/>
    <col min="3845" max="3845" width="14.7109375" customWidth="1"/>
    <col min="3846" max="3846" width="4.85546875" customWidth="1"/>
    <col min="3847" max="3847" width="14.7109375" customWidth="1"/>
    <col min="3848" max="3848" width="18.28515625" customWidth="1"/>
    <col min="3849" max="3849" width="15.5703125" customWidth="1"/>
    <col min="3850" max="3850" width="6.140625" customWidth="1"/>
    <col min="3851" max="3851" width="14.7109375" customWidth="1"/>
    <col min="3852" max="3852" width="16.140625" customWidth="1"/>
    <col min="3853" max="3853" width="14.7109375" customWidth="1"/>
    <col min="3854" max="3854" width="4.85546875" customWidth="1"/>
    <col min="3855" max="3855" width="18.5703125" customWidth="1"/>
    <col min="4097" max="4097" width="33.140625" customWidth="1"/>
    <col min="4098" max="4098" width="11" customWidth="1"/>
    <col min="4099" max="4099" width="16.85546875" customWidth="1"/>
    <col min="4100" max="4100" width="16.7109375" customWidth="1"/>
    <col min="4101" max="4101" width="14.7109375" customWidth="1"/>
    <col min="4102" max="4102" width="4.85546875" customWidth="1"/>
    <col min="4103" max="4103" width="14.7109375" customWidth="1"/>
    <col min="4104" max="4104" width="18.28515625" customWidth="1"/>
    <col min="4105" max="4105" width="15.5703125" customWidth="1"/>
    <col min="4106" max="4106" width="6.140625" customWidth="1"/>
    <col min="4107" max="4107" width="14.7109375" customWidth="1"/>
    <col min="4108" max="4108" width="16.140625" customWidth="1"/>
    <col min="4109" max="4109" width="14.7109375" customWidth="1"/>
    <col min="4110" max="4110" width="4.85546875" customWidth="1"/>
    <col min="4111" max="4111" width="18.5703125" customWidth="1"/>
    <col min="4353" max="4353" width="33.140625" customWidth="1"/>
    <col min="4354" max="4354" width="11" customWidth="1"/>
    <col min="4355" max="4355" width="16.85546875" customWidth="1"/>
    <col min="4356" max="4356" width="16.7109375" customWidth="1"/>
    <col min="4357" max="4357" width="14.7109375" customWidth="1"/>
    <col min="4358" max="4358" width="4.85546875" customWidth="1"/>
    <col min="4359" max="4359" width="14.7109375" customWidth="1"/>
    <col min="4360" max="4360" width="18.28515625" customWidth="1"/>
    <col min="4361" max="4361" width="15.5703125" customWidth="1"/>
    <col min="4362" max="4362" width="6.140625" customWidth="1"/>
    <col min="4363" max="4363" width="14.7109375" customWidth="1"/>
    <col min="4364" max="4364" width="16.140625" customWidth="1"/>
    <col min="4365" max="4365" width="14.7109375" customWidth="1"/>
    <col min="4366" max="4366" width="4.85546875" customWidth="1"/>
    <col min="4367" max="4367" width="18.5703125" customWidth="1"/>
    <col min="4609" max="4609" width="33.140625" customWidth="1"/>
    <col min="4610" max="4610" width="11" customWidth="1"/>
    <col min="4611" max="4611" width="16.85546875" customWidth="1"/>
    <col min="4612" max="4612" width="16.7109375" customWidth="1"/>
    <col min="4613" max="4613" width="14.7109375" customWidth="1"/>
    <col min="4614" max="4614" width="4.85546875" customWidth="1"/>
    <col min="4615" max="4615" width="14.7109375" customWidth="1"/>
    <col min="4616" max="4616" width="18.28515625" customWidth="1"/>
    <col min="4617" max="4617" width="15.5703125" customWidth="1"/>
    <col min="4618" max="4618" width="6.140625" customWidth="1"/>
    <col min="4619" max="4619" width="14.7109375" customWidth="1"/>
    <col min="4620" max="4620" width="16.140625" customWidth="1"/>
    <col min="4621" max="4621" width="14.7109375" customWidth="1"/>
    <col min="4622" max="4622" width="4.85546875" customWidth="1"/>
    <col min="4623" max="4623" width="18.5703125" customWidth="1"/>
    <col min="4865" max="4865" width="33.140625" customWidth="1"/>
    <col min="4866" max="4866" width="11" customWidth="1"/>
    <col min="4867" max="4867" width="16.85546875" customWidth="1"/>
    <col min="4868" max="4868" width="16.7109375" customWidth="1"/>
    <col min="4869" max="4869" width="14.7109375" customWidth="1"/>
    <col min="4870" max="4870" width="4.85546875" customWidth="1"/>
    <col min="4871" max="4871" width="14.7109375" customWidth="1"/>
    <col min="4872" max="4872" width="18.28515625" customWidth="1"/>
    <col min="4873" max="4873" width="15.5703125" customWidth="1"/>
    <col min="4874" max="4874" width="6.140625" customWidth="1"/>
    <col min="4875" max="4875" width="14.7109375" customWidth="1"/>
    <col min="4876" max="4876" width="16.140625" customWidth="1"/>
    <col min="4877" max="4877" width="14.7109375" customWidth="1"/>
    <col min="4878" max="4878" width="4.85546875" customWidth="1"/>
    <col min="4879" max="4879" width="18.5703125" customWidth="1"/>
    <col min="5121" max="5121" width="33.140625" customWidth="1"/>
    <col min="5122" max="5122" width="11" customWidth="1"/>
    <col min="5123" max="5123" width="16.85546875" customWidth="1"/>
    <col min="5124" max="5124" width="16.7109375" customWidth="1"/>
    <col min="5125" max="5125" width="14.7109375" customWidth="1"/>
    <col min="5126" max="5126" width="4.85546875" customWidth="1"/>
    <col min="5127" max="5127" width="14.7109375" customWidth="1"/>
    <col min="5128" max="5128" width="18.28515625" customWidth="1"/>
    <col min="5129" max="5129" width="15.5703125" customWidth="1"/>
    <col min="5130" max="5130" width="6.140625" customWidth="1"/>
    <col min="5131" max="5131" width="14.7109375" customWidth="1"/>
    <col min="5132" max="5132" width="16.140625" customWidth="1"/>
    <col min="5133" max="5133" width="14.7109375" customWidth="1"/>
    <col min="5134" max="5134" width="4.85546875" customWidth="1"/>
    <col min="5135" max="5135" width="18.5703125" customWidth="1"/>
    <col min="5377" max="5377" width="33.140625" customWidth="1"/>
    <col min="5378" max="5378" width="11" customWidth="1"/>
    <col min="5379" max="5379" width="16.85546875" customWidth="1"/>
    <col min="5380" max="5380" width="16.7109375" customWidth="1"/>
    <col min="5381" max="5381" width="14.7109375" customWidth="1"/>
    <col min="5382" max="5382" width="4.85546875" customWidth="1"/>
    <col min="5383" max="5383" width="14.7109375" customWidth="1"/>
    <col min="5384" max="5384" width="18.28515625" customWidth="1"/>
    <col min="5385" max="5385" width="15.5703125" customWidth="1"/>
    <col min="5386" max="5386" width="6.140625" customWidth="1"/>
    <col min="5387" max="5387" width="14.7109375" customWidth="1"/>
    <col min="5388" max="5388" width="16.140625" customWidth="1"/>
    <col min="5389" max="5389" width="14.7109375" customWidth="1"/>
    <col min="5390" max="5390" width="4.85546875" customWidth="1"/>
    <col min="5391" max="5391" width="18.5703125" customWidth="1"/>
    <col min="5633" max="5633" width="33.140625" customWidth="1"/>
    <col min="5634" max="5634" width="11" customWidth="1"/>
    <col min="5635" max="5635" width="16.85546875" customWidth="1"/>
    <col min="5636" max="5636" width="16.7109375" customWidth="1"/>
    <col min="5637" max="5637" width="14.7109375" customWidth="1"/>
    <col min="5638" max="5638" width="4.85546875" customWidth="1"/>
    <col min="5639" max="5639" width="14.7109375" customWidth="1"/>
    <col min="5640" max="5640" width="18.28515625" customWidth="1"/>
    <col min="5641" max="5641" width="15.5703125" customWidth="1"/>
    <col min="5642" max="5642" width="6.140625" customWidth="1"/>
    <col min="5643" max="5643" width="14.7109375" customWidth="1"/>
    <col min="5644" max="5644" width="16.140625" customWidth="1"/>
    <col min="5645" max="5645" width="14.7109375" customWidth="1"/>
    <col min="5646" max="5646" width="4.85546875" customWidth="1"/>
    <col min="5647" max="5647" width="18.5703125" customWidth="1"/>
    <col min="5889" max="5889" width="33.140625" customWidth="1"/>
    <col min="5890" max="5890" width="11" customWidth="1"/>
    <col min="5891" max="5891" width="16.85546875" customWidth="1"/>
    <col min="5892" max="5892" width="16.7109375" customWidth="1"/>
    <col min="5893" max="5893" width="14.7109375" customWidth="1"/>
    <col min="5894" max="5894" width="4.85546875" customWidth="1"/>
    <col min="5895" max="5895" width="14.7109375" customWidth="1"/>
    <col min="5896" max="5896" width="18.28515625" customWidth="1"/>
    <col min="5897" max="5897" width="15.5703125" customWidth="1"/>
    <col min="5898" max="5898" width="6.140625" customWidth="1"/>
    <col min="5899" max="5899" width="14.7109375" customWidth="1"/>
    <col min="5900" max="5900" width="16.140625" customWidth="1"/>
    <col min="5901" max="5901" width="14.7109375" customWidth="1"/>
    <col min="5902" max="5902" width="4.85546875" customWidth="1"/>
    <col min="5903" max="5903" width="18.5703125" customWidth="1"/>
    <col min="6145" max="6145" width="33.140625" customWidth="1"/>
    <col min="6146" max="6146" width="11" customWidth="1"/>
    <col min="6147" max="6147" width="16.85546875" customWidth="1"/>
    <col min="6148" max="6148" width="16.7109375" customWidth="1"/>
    <col min="6149" max="6149" width="14.7109375" customWidth="1"/>
    <col min="6150" max="6150" width="4.85546875" customWidth="1"/>
    <col min="6151" max="6151" width="14.7109375" customWidth="1"/>
    <col min="6152" max="6152" width="18.28515625" customWidth="1"/>
    <col min="6153" max="6153" width="15.5703125" customWidth="1"/>
    <col min="6154" max="6154" width="6.140625" customWidth="1"/>
    <col min="6155" max="6155" width="14.7109375" customWidth="1"/>
    <col min="6156" max="6156" width="16.140625" customWidth="1"/>
    <col min="6157" max="6157" width="14.7109375" customWidth="1"/>
    <col min="6158" max="6158" width="4.85546875" customWidth="1"/>
    <col min="6159" max="6159" width="18.5703125" customWidth="1"/>
    <col min="6401" max="6401" width="33.140625" customWidth="1"/>
    <col min="6402" max="6402" width="11" customWidth="1"/>
    <col min="6403" max="6403" width="16.85546875" customWidth="1"/>
    <col min="6404" max="6404" width="16.7109375" customWidth="1"/>
    <col min="6405" max="6405" width="14.7109375" customWidth="1"/>
    <col min="6406" max="6406" width="4.85546875" customWidth="1"/>
    <col min="6407" max="6407" width="14.7109375" customWidth="1"/>
    <col min="6408" max="6408" width="18.28515625" customWidth="1"/>
    <col min="6409" max="6409" width="15.5703125" customWidth="1"/>
    <col min="6410" max="6410" width="6.140625" customWidth="1"/>
    <col min="6411" max="6411" width="14.7109375" customWidth="1"/>
    <col min="6412" max="6412" width="16.140625" customWidth="1"/>
    <col min="6413" max="6413" width="14.7109375" customWidth="1"/>
    <col min="6414" max="6414" width="4.85546875" customWidth="1"/>
    <col min="6415" max="6415" width="18.5703125" customWidth="1"/>
    <col min="6657" max="6657" width="33.140625" customWidth="1"/>
    <col min="6658" max="6658" width="11" customWidth="1"/>
    <col min="6659" max="6659" width="16.85546875" customWidth="1"/>
    <col min="6660" max="6660" width="16.7109375" customWidth="1"/>
    <col min="6661" max="6661" width="14.7109375" customWidth="1"/>
    <col min="6662" max="6662" width="4.85546875" customWidth="1"/>
    <col min="6663" max="6663" width="14.7109375" customWidth="1"/>
    <col min="6664" max="6664" width="18.28515625" customWidth="1"/>
    <col min="6665" max="6665" width="15.5703125" customWidth="1"/>
    <col min="6666" max="6666" width="6.140625" customWidth="1"/>
    <col min="6667" max="6667" width="14.7109375" customWidth="1"/>
    <col min="6668" max="6668" width="16.140625" customWidth="1"/>
    <col min="6669" max="6669" width="14.7109375" customWidth="1"/>
    <col min="6670" max="6670" width="4.85546875" customWidth="1"/>
    <col min="6671" max="6671" width="18.5703125" customWidth="1"/>
    <col min="6913" max="6913" width="33.140625" customWidth="1"/>
    <col min="6914" max="6914" width="11" customWidth="1"/>
    <col min="6915" max="6915" width="16.85546875" customWidth="1"/>
    <col min="6916" max="6916" width="16.7109375" customWidth="1"/>
    <col min="6917" max="6917" width="14.7109375" customWidth="1"/>
    <col min="6918" max="6918" width="4.85546875" customWidth="1"/>
    <col min="6919" max="6919" width="14.7109375" customWidth="1"/>
    <col min="6920" max="6920" width="18.28515625" customWidth="1"/>
    <col min="6921" max="6921" width="15.5703125" customWidth="1"/>
    <col min="6922" max="6922" width="6.140625" customWidth="1"/>
    <col min="6923" max="6923" width="14.7109375" customWidth="1"/>
    <col min="6924" max="6924" width="16.140625" customWidth="1"/>
    <col min="6925" max="6925" width="14.7109375" customWidth="1"/>
    <col min="6926" max="6926" width="4.85546875" customWidth="1"/>
    <col min="6927" max="6927" width="18.5703125" customWidth="1"/>
    <col min="7169" max="7169" width="33.140625" customWidth="1"/>
    <col min="7170" max="7170" width="11" customWidth="1"/>
    <col min="7171" max="7171" width="16.85546875" customWidth="1"/>
    <col min="7172" max="7172" width="16.7109375" customWidth="1"/>
    <col min="7173" max="7173" width="14.7109375" customWidth="1"/>
    <col min="7174" max="7174" width="4.85546875" customWidth="1"/>
    <col min="7175" max="7175" width="14.7109375" customWidth="1"/>
    <col min="7176" max="7176" width="18.28515625" customWidth="1"/>
    <col min="7177" max="7177" width="15.5703125" customWidth="1"/>
    <col min="7178" max="7178" width="6.140625" customWidth="1"/>
    <col min="7179" max="7179" width="14.7109375" customWidth="1"/>
    <col min="7180" max="7180" width="16.140625" customWidth="1"/>
    <col min="7181" max="7181" width="14.7109375" customWidth="1"/>
    <col min="7182" max="7182" width="4.85546875" customWidth="1"/>
    <col min="7183" max="7183" width="18.5703125" customWidth="1"/>
    <col min="7425" max="7425" width="33.140625" customWidth="1"/>
    <col min="7426" max="7426" width="11" customWidth="1"/>
    <col min="7427" max="7427" width="16.85546875" customWidth="1"/>
    <col min="7428" max="7428" width="16.7109375" customWidth="1"/>
    <col min="7429" max="7429" width="14.7109375" customWidth="1"/>
    <col min="7430" max="7430" width="4.85546875" customWidth="1"/>
    <col min="7431" max="7431" width="14.7109375" customWidth="1"/>
    <col min="7432" max="7432" width="18.28515625" customWidth="1"/>
    <col min="7433" max="7433" width="15.5703125" customWidth="1"/>
    <col min="7434" max="7434" width="6.140625" customWidth="1"/>
    <col min="7435" max="7435" width="14.7109375" customWidth="1"/>
    <col min="7436" max="7436" width="16.140625" customWidth="1"/>
    <col min="7437" max="7437" width="14.7109375" customWidth="1"/>
    <col min="7438" max="7438" width="4.85546875" customWidth="1"/>
    <col min="7439" max="7439" width="18.5703125" customWidth="1"/>
    <col min="7681" max="7681" width="33.140625" customWidth="1"/>
    <col min="7682" max="7682" width="11" customWidth="1"/>
    <col min="7683" max="7683" width="16.85546875" customWidth="1"/>
    <col min="7684" max="7684" width="16.7109375" customWidth="1"/>
    <col min="7685" max="7685" width="14.7109375" customWidth="1"/>
    <col min="7686" max="7686" width="4.85546875" customWidth="1"/>
    <col min="7687" max="7687" width="14.7109375" customWidth="1"/>
    <col min="7688" max="7688" width="18.28515625" customWidth="1"/>
    <col min="7689" max="7689" width="15.5703125" customWidth="1"/>
    <col min="7690" max="7690" width="6.140625" customWidth="1"/>
    <col min="7691" max="7691" width="14.7109375" customWidth="1"/>
    <col min="7692" max="7692" width="16.140625" customWidth="1"/>
    <col min="7693" max="7693" width="14.7109375" customWidth="1"/>
    <col min="7694" max="7694" width="4.85546875" customWidth="1"/>
    <col min="7695" max="7695" width="18.5703125" customWidth="1"/>
    <col min="7937" max="7937" width="33.140625" customWidth="1"/>
    <col min="7938" max="7938" width="11" customWidth="1"/>
    <col min="7939" max="7939" width="16.85546875" customWidth="1"/>
    <col min="7940" max="7940" width="16.7109375" customWidth="1"/>
    <col min="7941" max="7941" width="14.7109375" customWidth="1"/>
    <col min="7942" max="7942" width="4.85546875" customWidth="1"/>
    <col min="7943" max="7943" width="14.7109375" customWidth="1"/>
    <col min="7944" max="7944" width="18.28515625" customWidth="1"/>
    <col min="7945" max="7945" width="15.5703125" customWidth="1"/>
    <col min="7946" max="7946" width="6.140625" customWidth="1"/>
    <col min="7947" max="7947" width="14.7109375" customWidth="1"/>
    <col min="7948" max="7948" width="16.140625" customWidth="1"/>
    <col min="7949" max="7949" width="14.7109375" customWidth="1"/>
    <col min="7950" max="7950" width="4.85546875" customWidth="1"/>
    <col min="7951" max="7951" width="18.5703125" customWidth="1"/>
    <col min="8193" max="8193" width="33.140625" customWidth="1"/>
    <col min="8194" max="8194" width="11" customWidth="1"/>
    <col min="8195" max="8195" width="16.85546875" customWidth="1"/>
    <col min="8196" max="8196" width="16.7109375" customWidth="1"/>
    <col min="8197" max="8197" width="14.7109375" customWidth="1"/>
    <col min="8198" max="8198" width="4.85546875" customWidth="1"/>
    <col min="8199" max="8199" width="14.7109375" customWidth="1"/>
    <col min="8200" max="8200" width="18.28515625" customWidth="1"/>
    <col min="8201" max="8201" width="15.5703125" customWidth="1"/>
    <col min="8202" max="8202" width="6.140625" customWidth="1"/>
    <col min="8203" max="8203" width="14.7109375" customWidth="1"/>
    <col min="8204" max="8204" width="16.140625" customWidth="1"/>
    <col min="8205" max="8205" width="14.7109375" customWidth="1"/>
    <col min="8206" max="8206" width="4.85546875" customWidth="1"/>
    <col min="8207" max="8207" width="18.5703125" customWidth="1"/>
    <col min="8449" max="8449" width="33.140625" customWidth="1"/>
    <col min="8450" max="8450" width="11" customWidth="1"/>
    <col min="8451" max="8451" width="16.85546875" customWidth="1"/>
    <col min="8452" max="8452" width="16.7109375" customWidth="1"/>
    <col min="8453" max="8453" width="14.7109375" customWidth="1"/>
    <col min="8454" max="8454" width="4.85546875" customWidth="1"/>
    <col min="8455" max="8455" width="14.7109375" customWidth="1"/>
    <col min="8456" max="8456" width="18.28515625" customWidth="1"/>
    <col min="8457" max="8457" width="15.5703125" customWidth="1"/>
    <col min="8458" max="8458" width="6.140625" customWidth="1"/>
    <col min="8459" max="8459" width="14.7109375" customWidth="1"/>
    <col min="8460" max="8460" width="16.140625" customWidth="1"/>
    <col min="8461" max="8461" width="14.7109375" customWidth="1"/>
    <col min="8462" max="8462" width="4.85546875" customWidth="1"/>
    <col min="8463" max="8463" width="18.5703125" customWidth="1"/>
    <col min="8705" max="8705" width="33.140625" customWidth="1"/>
    <col min="8706" max="8706" width="11" customWidth="1"/>
    <col min="8707" max="8707" width="16.85546875" customWidth="1"/>
    <col min="8708" max="8708" width="16.7109375" customWidth="1"/>
    <col min="8709" max="8709" width="14.7109375" customWidth="1"/>
    <col min="8710" max="8710" width="4.85546875" customWidth="1"/>
    <col min="8711" max="8711" width="14.7109375" customWidth="1"/>
    <col min="8712" max="8712" width="18.28515625" customWidth="1"/>
    <col min="8713" max="8713" width="15.5703125" customWidth="1"/>
    <col min="8714" max="8714" width="6.140625" customWidth="1"/>
    <col min="8715" max="8715" width="14.7109375" customWidth="1"/>
    <col min="8716" max="8716" width="16.140625" customWidth="1"/>
    <col min="8717" max="8717" width="14.7109375" customWidth="1"/>
    <col min="8718" max="8718" width="4.85546875" customWidth="1"/>
    <col min="8719" max="8719" width="18.5703125" customWidth="1"/>
    <col min="8961" max="8961" width="33.140625" customWidth="1"/>
    <col min="8962" max="8962" width="11" customWidth="1"/>
    <col min="8963" max="8963" width="16.85546875" customWidth="1"/>
    <col min="8964" max="8964" width="16.7109375" customWidth="1"/>
    <col min="8965" max="8965" width="14.7109375" customWidth="1"/>
    <col min="8966" max="8966" width="4.85546875" customWidth="1"/>
    <col min="8967" max="8967" width="14.7109375" customWidth="1"/>
    <col min="8968" max="8968" width="18.28515625" customWidth="1"/>
    <col min="8969" max="8969" width="15.5703125" customWidth="1"/>
    <col min="8970" max="8970" width="6.140625" customWidth="1"/>
    <col min="8971" max="8971" width="14.7109375" customWidth="1"/>
    <col min="8972" max="8972" width="16.140625" customWidth="1"/>
    <col min="8973" max="8973" width="14.7109375" customWidth="1"/>
    <col min="8974" max="8974" width="4.85546875" customWidth="1"/>
    <col min="8975" max="8975" width="18.5703125" customWidth="1"/>
    <col min="9217" max="9217" width="33.140625" customWidth="1"/>
    <col min="9218" max="9218" width="11" customWidth="1"/>
    <col min="9219" max="9219" width="16.85546875" customWidth="1"/>
    <col min="9220" max="9220" width="16.7109375" customWidth="1"/>
    <col min="9221" max="9221" width="14.7109375" customWidth="1"/>
    <col min="9222" max="9222" width="4.85546875" customWidth="1"/>
    <col min="9223" max="9223" width="14.7109375" customWidth="1"/>
    <col min="9224" max="9224" width="18.28515625" customWidth="1"/>
    <col min="9225" max="9225" width="15.5703125" customWidth="1"/>
    <col min="9226" max="9226" width="6.140625" customWidth="1"/>
    <col min="9227" max="9227" width="14.7109375" customWidth="1"/>
    <col min="9228" max="9228" width="16.140625" customWidth="1"/>
    <col min="9229" max="9229" width="14.7109375" customWidth="1"/>
    <col min="9230" max="9230" width="4.85546875" customWidth="1"/>
    <col min="9231" max="9231" width="18.5703125" customWidth="1"/>
    <col min="9473" max="9473" width="33.140625" customWidth="1"/>
    <col min="9474" max="9474" width="11" customWidth="1"/>
    <col min="9475" max="9475" width="16.85546875" customWidth="1"/>
    <col min="9476" max="9476" width="16.7109375" customWidth="1"/>
    <col min="9477" max="9477" width="14.7109375" customWidth="1"/>
    <col min="9478" max="9478" width="4.85546875" customWidth="1"/>
    <col min="9479" max="9479" width="14.7109375" customWidth="1"/>
    <col min="9480" max="9480" width="18.28515625" customWidth="1"/>
    <col min="9481" max="9481" width="15.5703125" customWidth="1"/>
    <col min="9482" max="9482" width="6.140625" customWidth="1"/>
    <col min="9483" max="9483" width="14.7109375" customWidth="1"/>
    <col min="9484" max="9484" width="16.140625" customWidth="1"/>
    <col min="9485" max="9485" width="14.7109375" customWidth="1"/>
    <col min="9486" max="9486" width="4.85546875" customWidth="1"/>
    <col min="9487" max="9487" width="18.5703125" customWidth="1"/>
    <col min="9729" max="9729" width="33.140625" customWidth="1"/>
    <col min="9730" max="9730" width="11" customWidth="1"/>
    <col min="9731" max="9731" width="16.85546875" customWidth="1"/>
    <col min="9732" max="9732" width="16.7109375" customWidth="1"/>
    <col min="9733" max="9733" width="14.7109375" customWidth="1"/>
    <col min="9734" max="9734" width="4.85546875" customWidth="1"/>
    <col min="9735" max="9735" width="14.7109375" customWidth="1"/>
    <col min="9736" max="9736" width="18.28515625" customWidth="1"/>
    <col min="9737" max="9737" width="15.5703125" customWidth="1"/>
    <col min="9738" max="9738" width="6.140625" customWidth="1"/>
    <col min="9739" max="9739" width="14.7109375" customWidth="1"/>
    <col min="9740" max="9740" width="16.140625" customWidth="1"/>
    <col min="9741" max="9741" width="14.7109375" customWidth="1"/>
    <col min="9742" max="9742" width="4.85546875" customWidth="1"/>
    <col min="9743" max="9743" width="18.5703125" customWidth="1"/>
    <col min="9985" max="9985" width="33.140625" customWidth="1"/>
    <col min="9986" max="9986" width="11" customWidth="1"/>
    <col min="9987" max="9987" width="16.85546875" customWidth="1"/>
    <col min="9988" max="9988" width="16.7109375" customWidth="1"/>
    <col min="9989" max="9989" width="14.7109375" customWidth="1"/>
    <col min="9990" max="9990" width="4.85546875" customWidth="1"/>
    <col min="9991" max="9991" width="14.7109375" customWidth="1"/>
    <col min="9992" max="9992" width="18.28515625" customWidth="1"/>
    <col min="9993" max="9993" width="15.5703125" customWidth="1"/>
    <col min="9994" max="9994" width="6.140625" customWidth="1"/>
    <col min="9995" max="9995" width="14.7109375" customWidth="1"/>
    <col min="9996" max="9996" width="16.140625" customWidth="1"/>
    <col min="9997" max="9997" width="14.7109375" customWidth="1"/>
    <col min="9998" max="9998" width="4.85546875" customWidth="1"/>
    <col min="9999" max="9999" width="18.5703125" customWidth="1"/>
    <col min="10241" max="10241" width="33.140625" customWidth="1"/>
    <col min="10242" max="10242" width="11" customWidth="1"/>
    <col min="10243" max="10243" width="16.85546875" customWidth="1"/>
    <col min="10244" max="10244" width="16.7109375" customWidth="1"/>
    <col min="10245" max="10245" width="14.7109375" customWidth="1"/>
    <col min="10246" max="10246" width="4.85546875" customWidth="1"/>
    <col min="10247" max="10247" width="14.7109375" customWidth="1"/>
    <col min="10248" max="10248" width="18.28515625" customWidth="1"/>
    <col min="10249" max="10249" width="15.5703125" customWidth="1"/>
    <col min="10250" max="10250" width="6.140625" customWidth="1"/>
    <col min="10251" max="10251" width="14.7109375" customWidth="1"/>
    <col min="10252" max="10252" width="16.140625" customWidth="1"/>
    <col min="10253" max="10253" width="14.7109375" customWidth="1"/>
    <col min="10254" max="10254" width="4.85546875" customWidth="1"/>
    <col min="10255" max="10255" width="18.5703125" customWidth="1"/>
    <col min="10497" max="10497" width="33.140625" customWidth="1"/>
    <col min="10498" max="10498" width="11" customWidth="1"/>
    <col min="10499" max="10499" width="16.85546875" customWidth="1"/>
    <col min="10500" max="10500" width="16.7109375" customWidth="1"/>
    <col min="10501" max="10501" width="14.7109375" customWidth="1"/>
    <col min="10502" max="10502" width="4.85546875" customWidth="1"/>
    <col min="10503" max="10503" width="14.7109375" customWidth="1"/>
    <col min="10504" max="10504" width="18.28515625" customWidth="1"/>
    <col min="10505" max="10505" width="15.5703125" customWidth="1"/>
    <col min="10506" max="10506" width="6.140625" customWidth="1"/>
    <col min="10507" max="10507" width="14.7109375" customWidth="1"/>
    <col min="10508" max="10508" width="16.140625" customWidth="1"/>
    <col min="10509" max="10509" width="14.7109375" customWidth="1"/>
    <col min="10510" max="10510" width="4.85546875" customWidth="1"/>
    <col min="10511" max="10511" width="18.5703125" customWidth="1"/>
    <col min="10753" max="10753" width="33.140625" customWidth="1"/>
    <col min="10754" max="10754" width="11" customWidth="1"/>
    <col min="10755" max="10755" width="16.85546875" customWidth="1"/>
    <col min="10756" max="10756" width="16.7109375" customWidth="1"/>
    <col min="10757" max="10757" width="14.7109375" customWidth="1"/>
    <col min="10758" max="10758" width="4.85546875" customWidth="1"/>
    <col min="10759" max="10759" width="14.7109375" customWidth="1"/>
    <col min="10760" max="10760" width="18.28515625" customWidth="1"/>
    <col min="10761" max="10761" width="15.5703125" customWidth="1"/>
    <col min="10762" max="10762" width="6.140625" customWidth="1"/>
    <col min="10763" max="10763" width="14.7109375" customWidth="1"/>
    <col min="10764" max="10764" width="16.140625" customWidth="1"/>
    <col min="10765" max="10765" width="14.7109375" customWidth="1"/>
    <col min="10766" max="10766" width="4.85546875" customWidth="1"/>
    <col min="10767" max="10767" width="18.5703125" customWidth="1"/>
    <col min="11009" max="11009" width="33.140625" customWidth="1"/>
    <col min="11010" max="11010" width="11" customWidth="1"/>
    <col min="11011" max="11011" width="16.85546875" customWidth="1"/>
    <col min="11012" max="11012" width="16.7109375" customWidth="1"/>
    <col min="11013" max="11013" width="14.7109375" customWidth="1"/>
    <col min="11014" max="11014" width="4.85546875" customWidth="1"/>
    <col min="11015" max="11015" width="14.7109375" customWidth="1"/>
    <col min="11016" max="11016" width="18.28515625" customWidth="1"/>
    <col min="11017" max="11017" width="15.5703125" customWidth="1"/>
    <col min="11018" max="11018" width="6.140625" customWidth="1"/>
    <col min="11019" max="11019" width="14.7109375" customWidth="1"/>
    <col min="11020" max="11020" width="16.140625" customWidth="1"/>
    <col min="11021" max="11021" width="14.7109375" customWidth="1"/>
    <col min="11022" max="11022" width="4.85546875" customWidth="1"/>
    <col min="11023" max="11023" width="18.5703125" customWidth="1"/>
    <col min="11265" max="11265" width="33.140625" customWidth="1"/>
    <col min="11266" max="11266" width="11" customWidth="1"/>
    <col min="11267" max="11267" width="16.85546875" customWidth="1"/>
    <col min="11268" max="11268" width="16.7109375" customWidth="1"/>
    <col min="11269" max="11269" width="14.7109375" customWidth="1"/>
    <col min="11270" max="11270" width="4.85546875" customWidth="1"/>
    <col min="11271" max="11271" width="14.7109375" customWidth="1"/>
    <col min="11272" max="11272" width="18.28515625" customWidth="1"/>
    <col min="11273" max="11273" width="15.5703125" customWidth="1"/>
    <col min="11274" max="11274" width="6.140625" customWidth="1"/>
    <col min="11275" max="11275" width="14.7109375" customWidth="1"/>
    <col min="11276" max="11276" width="16.140625" customWidth="1"/>
    <col min="11277" max="11277" width="14.7109375" customWidth="1"/>
    <col min="11278" max="11278" width="4.85546875" customWidth="1"/>
    <col min="11279" max="11279" width="18.5703125" customWidth="1"/>
    <col min="11521" max="11521" width="33.140625" customWidth="1"/>
    <col min="11522" max="11522" width="11" customWidth="1"/>
    <col min="11523" max="11523" width="16.85546875" customWidth="1"/>
    <col min="11524" max="11524" width="16.7109375" customWidth="1"/>
    <col min="11525" max="11525" width="14.7109375" customWidth="1"/>
    <col min="11526" max="11526" width="4.85546875" customWidth="1"/>
    <col min="11527" max="11527" width="14.7109375" customWidth="1"/>
    <col min="11528" max="11528" width="18.28515625" customWidth="1"/>
    <col min="11529" max="11529" width="15.5703125" customWidth="1"/>
    <col min="11530" max="11530" width="6.140625" customWidth="1"/>
    <col min="11531" max="11531" width="14.7109375" customWidth="1"/>
    <col min="11532" max="11532" width="16.140625" customWidth="1"/>
    <col min="11533" max="11533" width="14.7109375" customWidth="1"/>
    <col min="11534" max="11534" width="4.85546875" customWidth="1"/>
    <col min="11535" max="11535" width="18.5703125" customWidth="1"/>
    <col min="11777" max="11777" width="33.140625" customWidth="1"/>
    <col min="11778" max="11778" width="11" customWidth="1"/>
    <col min="11779" max="11779" width="16.85546875" customWidth="1"/>
    <col min="11780" max="11780" width="16.7109375" customWidth="1"/>
    <col min="11781" max="11781" width="14.7109375" customWidth="1"/>
    <col min="11782" max="11782" width="4.85546875" customWidth="1"/>
    <col min="11783" max="11783" width="14.7109375" customWidth="1"/>
    <col min="11784" max="11784" width="18.28515625" customWidth="1"/>
    <col min="11785" max="11785" width="15.5703125" customWidth="1"/>
    <col min="11786" max="11786" width="6.140625" customWidth="1"/>
    <col min="11787" max="11787" width="14.7109375" customWidth="1"/>
    <col min="11788" max="11788" width="16.140625" customWidth="1"/>
    <col min="11789" max="11789" width="14.7109375" customWidth="1"/>
    <col min="11790" max="11790" width="4.85546875" customWidth="1"/>
    <col min="11791" max="11791" width="18.5703125" customWidth="1"/>
    <col min="12033" max="12033" width="33.140625" customWidth="1"/>
    <col min="12034" max="12034" width="11" customWidth="1"/>
    <col min="12035" max="12035" width="16.85546875" customWidth="1"/>
    <col min="12036" max="12036" width="16.7109375" customWidth="1"/>
    <col min="12037" max="12037" width="14.7109375" customWidth="1"/>
    <col min="12038" max="12038" width="4.85546875" customWidth="1"/>
    <col min="12039" max="12039" width="14.7109375" customWidth="1"/>
    <col min="12040" max="12040" width="18.28515625" customWidth="1"/>
    <col min="12041" max="12041" width="15.5703125" customWidth="1"/>
    <col min="12042" max="12042" width="6.140625" customWidth="1"/>
    <col min="12043" max="12043" width="14.7109375" customWidth="1"/>
    <col min="12044" max="12044" width="16.140625" customWidth="1"/>
    <col min="12045" max="12045" width="14.7109375" customWidth="1"/>
    <col min="12046" max="12046" width="4.85546875" customWidth="1"/>
    <col min="12047" max="12047" width="18.5703125" customWidth="1"/>
    <col min="12289" max="12289" width="33.140625" customWidth="1"/>
    <col min="12290" max="12290" width="11" customWidth="1"/>
    <col min="12291" max="12291" width="16.85546875" customWidth="1"/>
    <col min="12292" max="12292" width="16.7109375" customWidth="1"/>
    <col min="12293" max="12293" width="14.7109375" customWidth="1"/>
    <col min="12294" max="12294" width="4.85546875" customWidth="1"/>
    <col min="12295" max="12295" width="14.7109375" customWidth="1"/>
    <col min="12296" max="12296" width="18.28515625" customWidth="1"/>
    <col min="12297" max="12297" width="15.5703125" customWidth="1"/>
    <col min="12298" max="12298" width="6.140625" customWidth="1"/>
    <col min="12299" max="12299" width="14.7109375" customWidth="1"/>
    <col min="12300" max="12300" width="16.140625" customWidth="1"/>
    <col min="12301" max="12301" width="14.7109375" customWidth="1"/>
    <col min="12302" max="12302" width="4.85546875" customWidth="1"/>
    <col min="12303" max="12303" width="18.5703125" customWidth="1"/>
    <col min="12545" max="12545" width="33.140625" customWidth="1"/>
    <col min="12546" max="12546" width="11" customWidth="1"/>
    <col min="12547" max="12547" width="16.85546875" customWidth="1"/>
    <col min="12548" max="12548" width="16.7109375" customWidth="1"/>
    <col min="12549" max="12549" width="14.7109375" customWidth="1"/>
    <col min="12550" max="12550" width="4.85546875" customWidth="1"/>
    <col min="12551" max="12551" width="14.7109375" customWidth="1"/>
    <col min="12552" max="12552" width="18.28515625" customWidth="1"/>
    <col min="12553" max="12553" width="15.5703125" customWidth="1"/>
    <col min="12554" max="12554" width="6.140625" customWidth="1"/>
    <col min="12555" max="12555" width="14.7109375" customWidth="1"/>
    <col min="12556" max="12556" width="16.140625" customWidth="1"/>
    <col min="12557" max="12557" width="14.7109375" customWidth="1"/>
    <col min="12558" max="12558" width="4.85546875" customWidth="1"/>
    <col min="12559" max="12559" width="18.5703125" customWidth="1"/>
    <col min="12801" max="12801" width="33.140625" customWidth="1"/>
    <col min="12802" max="12802" width="11" customWidth="1"/>
    <col min="12803" max="12803" width="16.85546875" customWidth="1"/>
    <col min="12804" max="12804" width="16.7109375" customWidth="1"/>
    <col min="12805" max="12805" width="14.7109375" customWidth="1"/>
    <col min="12806" max="12806" width="4.85546875" customWidth="1"/>
    <col min="12807" max="12807" width="14.7109375" customWidth="1"/>
    <col min="12808" max="12808" width="18.28515625" customWidth="1"/>
    <col min="12809" max="12809" width="15.5703125" customWidth="1"/>
    <col min="12810" max="12810" width="6.140625" customWidth="1"/>
    <col min="12811" max="12811" width="14.7109375" customWidth="1"/>
    <col min="12812" max="12812" width="16.140625" customWidth="1"/>
    <col min="12813" max="12813" width="14.7109375" customWidth="1"/>
    <col min="12814" max="12814" width="4.85546875" customWidth="1"/>
    <col min="12815" max="12815" width="18.5703125" customWidth="1"/>
    <col min="13057" max="13057" width="33.140625" customWidth="1"/>
    <col min="13058" max="13058" width="11" customWidth="1"/>
    <col min="13059" max="13059" width="16.85546875" customWidth="1"/>
    <col min="13060" max="13060" width="16.7109375" customWidth="1"/>
    <col min="13061" max="13061" width="14.7109375" customWidth="1"/>
    <col min="13062" max="13062" width="4.85546875" customWidth="1"/>
    <col min="13063" max="13063" width="14.7109375" customWidth="1"/>
    <col min="13064" max="13064" width="18.28515625" customWidth="1"/>
    <col min="13065" max="13065" width="15.5703125" customWidth="1"/>
    <col min="13066" max="13066" width="6.140625" customWidth="1"/>
    <col min="13067" max="13067" width="14.7109375" customWidth="1"/>
    <col min="13068" max="13068" width="16.140625" customWidth="1"/>
    <col min="13069" max="13069" width="14.7109375" customWidth="1"/>
    <col min="13070" max="13070" width="4.85546875" customWidth="1"/>
    <col min="13071" max="13071" width="18.5703125" customWidth="1"/>
    <col min="13313" max="13313" width="33.140625" customWidth="1"/>
    <col min="13314" max="13314" width="11" customWidth="1"/>
    <col min="13315" max="13315" width="16.85546875" customWidth="1"/>
    <col min="13316" max="13316" width="16.7109375" customWidth="1"/>
    <col min="13317" max="13317" width="14.7109375" customWidth="1"/>
    <col min="13318" max="13318" width="4.85546875" customWidth="1"/>
    <col min="13319" max="13319" width="14.7109375" customWidth="1"/>
    <col min="13320" max="13320" width="18.28515625" customWidth="1"/>
    <col min="13321" max="13321" width="15.5703125" customWidth="1"/>
    <col min="13322" max="13322" width="6.140625" customWidth="1"/>
    <col min="13323" max="13323" width="14.7109375" customWidth="1"/>
    <col min="13324" max="13324" width="16.140625" customWidth="1"/>
    <col min="13325" max="13325" width="14.7109375" customWidth="1"/>
    <col min="13326" max="13326" width="4.85546875" customWidth="1"/>
    <col min="13327" max="13327" width="18.5703125" customWidth="1"/>
    <col min="13569" max="13569" width="33.140625" customWidth="1"/>
    <col min="13570" max="13570" width="11" customWidth="1"/>
    <col min="13571" max="13571" width="16.85546875" customWidth="1"/>
    <col min="13572" max="13572" width="16.7109375" customWidth="1"/>
    <col min="13573" max="13573" width="14.7109375" customWidth="1"/>
    <col min="13574" max="13574" width="4.85546875" customWidth="1"/>
    <col min="13575" max="13575" width="14.7109375" customWidth="1"/>
    <col min="13576" max="13576" width="18.28515625" customWidth="1"/>
    <col min="13577" max="13577" width="15.5703125" customWidth="1"/>
    <col min="13578" max="13578" width="6.140625" customWidth="1"/>
    <col min="13579" max="13579" width="14.7109375" customWidth="1"/>
    <col min="13580" max="13580" width="16.140625" customWidth="1"/>
    <col min="13581" max="13581" width="14.7109375" customWidth="1"/>
    <col min="13582" max="13582" width="4.85546875" customWidth="1"/>
    <col min="13583" max="13583" width="18.5703125" customWidth="1"/>
    <col min="13825" max="13825" width="33.140625" customWidth="1"/>
    <col min="13826" max="13826" width="11" customWidth="1"/>
    <col min="13827" max="13827" width="16.85546875" customWidth="1"/>
    <col min="13828" max="13828" width="16.7109375" customWidth="1"/>
    <col min="13829" max="13829" width="14.7109375" customWidth="1"/>
    <col min="13830" max="13830" width="4.85546875" customWidth="1"/>
    <col min="13831" max="13831" width="14.7109375" customWidth="1"/>
    <col min="13832" max="13832" width="18.28515625" customWidth="1"/>
    <col min="13833" max="13833" width="15.5703125" customWidth="1"/>
    <col min="13834" max="13834" width="6.140625" customWidth="1"/>
    <col min="13835" max="13835" width="14.7109375" customWidth="1"/>
    <col min="13836" max="13836" width="16.140625" customWidth="1"/>
    <col min="13837" max="13837" width="14.7109375" customWidth="1"/>
    <col min="13838" max="13838" width="4.85546875" customWidth="1"/>
    <col min="13839" max="13839" width="18.5703125" customWidth="1"/>
    <col min="14081" max="14081" width="33.140625" customWidth="1"/>
    <col min="14082" max="14082" width="11" customWidth="1"/>
    <col min="14083" max="14083" width="16.85546875" customWidth="1"/>
    <col min="14084" max="14084" width="16.7109375" customWidth="1"/>
    <col min="14085" max="14085" width="14.7109375" customWidth="1"/>
    <col min="14086" max="14086" width="4.85546875" customWidth="1"/>
    <col min="14087" max="14087" width="14.7109375" customWidth="1"/>
    <col min="14088" max="14088" width="18.28515625" customWidth="1"/>
    <col min="14089" max="14089" width="15.5703125" customWidth="1"/>
    <col min="14090" max="14090" width="6.140625" customWidth="1"/>
    <col min="14091" max="14091" width="14.7109375" customWidth="1"/>
    <col min="14092" max="14092" width="16.140625" customWidth="1"/>
    <col min="14093" max="14093" width="14.7109375" customWidth="1"/>
    <col min="14094" max="14094" width="4.85546875" customWidth="1"/>
    <col min="14095" max="14095" width="18.5703125" customWidth="1"/>
    <col min="14337" max="14337" width="33.140625" customWidth="1"/>
    <col min="14338" max="14338" width="11" customWidth="1"/>
    <col min="14339" max="14339" width="16.85546875" customWidth="1"/>
    <col min="14340" max="14340" width="16.7109375" customWidth="1"/>
    <col min="14341" max="14341" width="14.7109375" customWidth="1"/>
    <col min="14342" max="14342" width="4.85546875" customWidth="1"/>
    <col min="14343" max="14343" width="14.7109375" customWidth="1"/>
    <col min="14344" max="14344" width="18.28515625" customWidth="1"/>
    <col min="14345" max="14345" width="15.5703125" customWidth="1"/>
    <col min="14346" max="14346" width="6.140625" customWidth="1"/>
    <col min="14347" max="14347" width="14.7109375" customWidth="1"/>
    <col min="14348" max="14348" width="16.140625" customWidth="1"/>
    <col min="14349" max="14349" width="14.7109375" customWidth="1"/>
    <col min="14350" max="14350" width="4.85546875" customWidth="1"/>
    <col min="14351" max="14351" width="18.5703125" customWidth="1"/>
    <col min="14593" max="14593" width="33.140625" customWidth="1"/>
    <col min="14594" max="14594" width="11" customWidth="1"/>
    <col min="14595" max="14595" width="16.85546875" customWidth="1"/>
    <col min="14596" max="14596" width="16.7109375" customWidth="1"/>
    <col min="14597" max="14597" width="14.7109375" customWidth="1"/>
    <col min="14598" max="14598" width="4.85546875" customWidth="1"/>
    <col min="14599" max="14599" width="14.7109375" customWidth="1"/>
    <col min="14600" max="14600" width="18.28515625" customWidth="1"/>
    <col min="14601" max="14601" width="15.5703125" customWidth="1"/>
    <col min="14602" max="14602" width="6.140625" customWidth="1"/>
    <col min="14603" max="14603" width="14.7109375" customWidth="1"/>
    <col min="14604" max="14604" width="16.140625" customWidth="1"/>
    <col min="14605" max="14605" width="14.7109375" customWidth="1"/>
    <col min="14606" max="14606" width="4.85546875" customWidth="1"/>
    <col min="14607" max="14607" width="18.5703125" customWidth="1"/>
    <col min="14849" max="14849" width="33.140625" customWidth="1"/>
    <col min="14850" max="14850" width="11" customWidth="1"/>
    <col min="14851" max="14851" width="16.85546875" customWidth="1"/>
    <col min="14852" max="14852" width="16.7109375" customWidth="1"/>
    <col min="14853" max="14853" width="14.7109375" customWidth="1"/>
    <col min="14854" max="14854" width="4.85546875" customWidth="1"/>
    <col min="14855" max="14855" width="14.7109375" customWidth="1"/>
    <col min="14856" max="14856" width="18.28515625" customWidth="1"/>
    <col min="14857" max="14857" width="15.5703125" customWidth="1"/>
    <col min="14858" max="14858" width="6.140625" customWidth="1"/>
    <col min="14859" max="14859" width="14.7109375" customWidth="1"/>
    <col min="14860" max="14860" width="16.140625" customWidth="1"/>
    <col min="14861" max="14861" width="14.7109375" customWidth="1"/>
    <col min="14862" max="14862" width="4.85546875" customWidth="1"/>
    <col min="14863" max="14863" width="18.5703125" customWidth="1"/>
    <col min="15105" max="15105" width="33.140625" customWidth="1"/>
    <col min="15106" max="15106" width="11" customWidth="1"/>
    <col min="15107" max="15107" width="16.85546875" customWidth="1"/>
    <col min="15108" max="15108" width="16.7109375" customWidth="1"/>
    <col min="15109" max="15109" width="14.7109375" customWidth="1"/>
    <col min="15110" max="15110" width="4.85546875" customWidth="1"/>
    <col min="15111" max="15111" width="14.7109375" customWidth="1"/>
    <col min="15112" max="15112" width="18.28515625" customWidth="1"/>
    <col min="15113" max="15113" width="15.5703125" customWidth="1"/>
    <col min="15114" max="15114" width="6.140625" customWidth="1"/>
    <col min="15115" max="15115" width="14.7109375" customWidth="1"/>
    <col min="15116" max="15116" width="16.140625" customWidth="1"/>
    <col min="15117" max="15117" width="14.7109375" customWidth="1"/>
    <col min="15118" max="15118" width="4.85546875" customWidth="1"/>
    <col min="15119" max="15119" width="18.5703125" customWidth="1"/>
    <col min="15361" max="15361" width="33.140625" customWidth="1"/>
    <col min="15362" max="15362" width="11" customWidth="1"/>
    <col min="15363" max="15363" width="16.85546875" customWidth="1"/>
    <col min="15364" max="15364" width="16.7109375" customWidth="1"/>
    <col min="15365" max="15365" width="14.7109375" customWidth="1"/>
    <col min="15366" max="15366" width="4.85546875" customWidth="1"/>
    <col min="15367" max="15367" width="14.7109375" customWidth="1"/>
    <col min="15368" max="15368" width="18.28515625" customWidth="1"/>
    <col min="15369" max="15369" width="15.5703125" customWidth="1"/>
    <col min="15370" max="15370" width="6.140625" customWidth="1"/>
    <col min="15371" max="15371" width="14.7109375" customWidth="1"/>
    <col min="15372" max="15372" width="16.140625" customWidth="1"/>
    <col min="15373" max="15373" width="14.7109375" customWidth="1"/>
    <col min="15374" max="15374" width="4.85546875" customWidth="1"/>
    <col min="15375" max="15375" width="18.5703125" customWidth="1"/>
    <col min="15617" max="15617" width="33.140625" customWidth="1"/>
    <col min="15618" max="15618" width="11" customWidth="1"/>
    <col min="15619" max="15619" width="16.85546875" customWidth="1"/>
    <col min="15620" max="15620" width="16.7109375" customWidth="1"/>
    <col min="15621" max="15621" width="14.7109375" customWidth="1"/>
    <col min="15622" max="15622" width="4.85546875" customWidth="1"/>
    <col min="15623" max="15623" width="14.7109375" customWidth="1"/>
    <col min="15624" max="15624" width="18.28515625" customWidth="1"/>
    <col min="15625" max="15625" width="15.5703125" customWidth="1"/>
    <col min="15626" max="15626" width="6.140625" customWidth="1"/>
    <col min="15627" max="15627" width="14.7109375" customWidth="1"/>
    <col min="15628" max="15628" width="16.140625" customWidth="1"/>
    <col min="15629" max="15629" width="14.7109375" customWidth="1"/>
    <col min="15630" max="15630" width="4.85546875" customWidth="1"/>
    <col min="15631" max="15631" width="18.5703125" customWidth="1"/>
    <col min="15873" max="15873" width="33.140625" customWidth="1"/>
    <col min="15874" max="15874" width="11" customWidth="1"/>
    <col min="15875" max="15875" width="16.85546875" customWidth="1"/>
    <col min="15876" max="15876" width="16.7109375" customWidth="1"/>
    <col min="15877" max="15877" width="14.7109375" customWidth="1"/>
    <col min="15878" max="15878" width="4.85546875" customWidth="1"/>
    <col min="15879" max="15879" width="14.7109375" customWidth="1"/>
    <col min="15880" max="15880" width="18.28515625" customWidth="1"/>
    <col min="15881" max="15881" width="15.5703125" customWidth="1"/>
    <col min="15882" max="15882" width="6.140625" customWidth="1"/>
    <col min="15883" max="15883" width="14.7109375" customWidth="1"/>
    <col min="15884" max="15884" width="16.140625" customWidth="1"/>
    <col min="15885" max="15885" width="14.7109375" customWidth="1"/>
    <col min="15886" max="15886" width="4.85546875" customWidth="1"/>
    <col min="15887" max="15887" width="18.5703125" customWidth="1"/>
    <col min="16129" max="16129" width="33.140625" customWidth="1"/>
    <col min="16130" max="16130" width="11" customWidth="1"/>
    <col min="16131" max="16131" width="16.85546875" customWidth="1"/>
    <col min="16132" max="16132" width="16.7109375" customWidth="1"/>
    <col min="16133" max="16133" width="14.7109375" customWidth="1"/>
    <col min="16134" max="16134" width="4.85546875" customWidth="1"/>
    <col min="16135" max="16135" width="14.7109375" customWidth="1"/>
    <col min="16136" max="16136" width="18.28515625" customWidth="1"/>
    <col min="16137" max="16137" width="15.5703125" customWidth="1"/>
    <col min="16138" max="16138" width="6.140625" customWidth="1"/>
    <col min="16139" max="16139" width="14.7109375" customWidth="1"/>
    <col min="16140" max="16140" width="16.140625" customWidth="1"/>
    <col min="16141" max="16141" width="14.7109375" customWidth="1"/>
    <col min="16142" max="16142" width="4.85546875" customWidth="1"/>
    <col min="16143" max="16143" width="18.5703125" customWidth="1"/>
  </cols>
  <sheetData>
    <row r="1" spans="1:19" ht="15.75">
      <c r="A1" s="665" t="s">
        <v>114</v>
      </c>
      <c r="B1" s="560"/>
      <c r="C1" s="560"/>
      <c r="D1" s="560"/>
      <c r="E1" s="560"/>
      <c r="F1" s="560"/>
      <c r="G1" s="219"/>
      <c r="H1" s="560"/>
      <c r="I1" s="560"/>
      <c r="J1" s="560"/>
      <c r="K1" s="560"/>
      <c r="L1" s="560"/>
      <c r="M1" s="560"/>
      <c r="N1" s="560"/>
      <c r="O1" s="560"/>
      <c r="P1" s="560"/>
      <c r="Q1" s="560"/>
      <c r="R1" s="560"/>
      <c r="S1" s="560"/>
    </row>
    <row r="2" spans="1:19" ht="15.75">
      <c r="A2" s="665" t="s">
        <v>114</v>
      </c>
      <c r="B2" s="560"/>
      <c r="C2" s="560"/>
      <c r="D2" s="560"/>
      <c r="E2" s="560"/>
      <c r="F2" s="560"/>
      <c r="G2" s="219"/>
      <c r="H2" s="560"/>
      <c r="I2" s="560"/>
      <c r="J2" s="560"/>
      <c r="K2" s="560"/>
      <c r="L2" s="560"/>
      <c r="M2" s="560"/>
      <c r="N2" s="560"/>
      <c r="O2" s="560"/>
      <c r="P2" s="560"/>
      <c r="Q2" s="560"/>
      <c r="R2" s="560"/>
      <c r="S2" s="560"/>
    </row>
    <row r="3" spans="1:19" ht="19.5">
      <c r="A3" s="1333" t="s">
        <v>391</v>
      </c>
      <c r="B3" s="1333"/>
      <c r="C3" s="1333"/>
      <c r="D3" s="1333"/>
      <c r="E3" s="1333"/>
      <c r="F3" s="1333"/>
      <c r="G3" s="1333"/>
      <c r="H3" s="1333"/>
      <c r="I3" s="1333"/>
      <c r="J3" s="1333"/>
      <c r="K3" s="1333"/>
      <c r="L3" s="1333"/>
      <c r="M3" s="1333"/>
      <c r="N3" s="1333"/>
      <c r="O3" s="1333"/>
      <c r="P3" s="559"/>
      <c r="Q3" s="559"/>
      <c r="R3" s="559"/>
      <c r="S3" s="559"/>
    </row>
    <row r="4" spans="1:19" ht="19.5">
      <c r="A4" s="1333" t="s">
        <v>392</v>
      </c>
      <c r="B4" s="1333"/>
      <c r="C4" s="1333"/>
      <c r="D4" s="1333"/>
      <c r="E4" s="1333"/>
      <c r="F4" s="1333"/>
      <c r="G4" s="1333"/>
      <c r="H4" s="1333"/>
      <c r="I4" s="1333"/>
      <c r="J4" s="1333"/>
      <c r="K4" s="1333"/>
      <c r="L4" s="1333"/>
      <c r="M4" s="1333"/>
      <c r="N4" s="1333"/>
      <c r="O4" s="1333"/>
      <c r="P4" s="559"/>
      <c r="Q4" s="559"/>
      <c r="R4" s="559"/>
      <c r="S4" s="559"/>
    </row>
    <row r="5" spans="1:19" ht="19.5">
      <c r="A5" s="1333" t="s">
        <v>393</v>
      </c>
      <c r="B5" s="1333"/>
      <c r="C5" s="1333"/>
      <c r="D5" s="1333"/>
      <c r="E5" s="1333"/>
      <c r="F5" s="1333"/>
      <c r="G5" s="1333"/>
      <c r="H5" s="1333"/>
      <c r="I5" s="1333"/>
      <c r="J5" s="1333"/>
      <c r="K5" s="1333"/>
      <c r="L5" s="1333"/>
      <c r="M5" s="1333"/>
      <c r="N5" s="1333"/>
      <c r="O5" s="1333"/>
      <c r="P5" s="559"/>
      <c r="Q5" s="559"/>
      <c r="R5" s="559"/>
      <c r="S5" s="559"/>
    </row>
    <row r="6" spans="1:19" ht="19.5">
      <c r="A6" s="1333" t="s">
        <v>394</v>
      </c>
      <c r="B6" s="1333"/>
      <c r="C6" s="1333"/>
      <c r="D6" s="1333"/>
      <c r="E6" s="1333"/>
      <c r="F6" s="1333"/>
      <c r="G6" s="1333"/>
      <c r="H6" s="1333"/>
      <c r="I6" s="1333"/>
      <c r="J6" s="1333"/>
      <c r="K6" s="1333"/>
      <c r="L6" s="1333"/>
      <c r="M6" s="1333"/>
      <c r="N6" s="1333"/>
      <c r="O6" s="1333"/>
      <c r="P6" s="559"/>
      <c r="Q6" s="559"/>
      <c r="R6" s="559"/>
      <c r="S6" s="559"/>
    </row>
    <row r="7" spans="1:19" ht="19.5">
      <c r="A7" s="1333" t="s">
        <v>1236</v>
      </c>
      <c r="B7" s="1333"/>
      <c r="C7" s="1333"/>
      <c r="D7" s="1333"/>
      <c r="E7" s="1333"/>
      <c r="F7" s="1333"/>
      <c r="G7" s="1333"/>
      <c r="H7" s="1333"/>
      <c r="I7" s="1333"/>
      <c r="J7" s="1333"/>
      <c r="K7" s="1333"/>
      <c r="L7" s="1333"/>
      <c r="M7" s="1333"/>
      <c r="N7" s="1333"/>
      <c r="O7" s="1333"/>
      <c r="P7" s="559"/>
      <c r="Q7" s="559"/>
      <c r="R7" s="559"/>
      <c r="S7" s="559"/>
    </row>
    <row r="8" spans="1:19" ht="19.5">
      <c r="A8" s="1333" t="s">
        <v>395</v>
      </c>
      <c r="B8" s="1333"/>
      <c r="C8" s="1333"/>
      <c r="D8" s="1333"/>
      <c r="E8" s="1333"/>
      <c r="F8" s="1333"/>
      <c r="G8" s="1333"/>
      <c r="H8" s="1333"/>
      <c r="I8" s="1333"/>
      <c r="J8" s="1333"/>
      <c r="K8" s="1333"/>
      <c r="L8" s="1333"/>
      <c r="M8" s="1333"/>
      <c r="N8" s="1333"/>
      <c r="O8" s="1333"/>
      <c r="P8" s="559"/>
      <c r="Q8" s="559"/>
      <c r="R8" s="559"/>
      <c r="S8" s="559"/>
    </row>
    <row r="9" spans="1:19" ht="19.5">
      <c r="A9" s="1335" t="s">
        <v>862</v>
      </c>
      <c r="B9" s="1333"/>
      <c r="C9" s="1333"/>
      <c r="D9" s="1333"/>
      <c r="E9" s="1333"/>
      <c r="F9" s="1333"/>
      <c r="G9" s="1333"/>
      <c r="H9" s="1333"/>
      <c r="I9" s="1333"/>
      <c r="J9" s="1333"/>
      <c r="K9" s="1333"/>
      <c r="L9" s="1333"/>
      <c r="M9" s="1333"/>
      <c r="N9" s="1333"/>
      <c r="O9" s="1333"/>
      <c r="P9" s="559"/>
      <c r="Q9" s="559"/>
      <c r="R9" s="559"/>
      <c r="S9" s="559"/>
    </row>
    <row r="10" spans="1:19" ht="19.5">
      <c r="A10" s="1336"/>
      <c r="B10" s="1336"/>
      <c r="C10" s="1336"/>
      <c r="D10" s="1336"/>
      <c r="E10" s="1336"/>
      <c r="F10" s="1336"/>
      <c r="G10" s="1336"/>
      <c r="H10" s="1336"/>
      <c r="I10" s="1336"/>
      <c r="J10" s="1336"/>
      <c r="K10" s="1336"/>
      <c r="L10" s="1336"/>
      <c r="M10" s="1336"/>
      <c r="N10" s="1336"/>
      <c r="O10" s="1336"/>
      <c r="P10" s="561"/>
      <c r="Q10" s="561"/>
      <c r="R10" s="561"/>
      <c r="S10" s="561"/>
    </row>
    <row r="11" spans="1:19" ht="15">
      <c r="A11" s="560"/>
      <c r="B11" s="560"/>
      <c r="C11" s="560"/>
      <c r="D11" s="560"/>
      <c r="E11" s="560"/>
      <c r="F11" s="560"/>
      <c r="G11" s="219"/>
      <c r="H11" s="560"/>
      <c r="I11" s="560"/>
      <c r="J11" s="560"/>
      <c r="K11" s="560"/>
      <c r="L11" s="560"/>
      <c r="M11" s="560"/>
      <c r="N11" s="560"/>
      <c r="O11" s="560"/>
      <c r="P11" s="560"/>
      <c r="Q11" s="560"/>
      <c r="R11" s="560"/>
      <c r="S11" s="560"/>
    </row>
    <row r="12" spans="1:19" ht="16.5" thickBot="1">
      <c r="A12" s="562"/>
      <c r="B12" s="562"/>
      <c r="C12" s="1337" t="s">
        <v>602</v>
      </c>
      <c r="D12" s="1337"/>
      <c r="E12" s="1337"/>
      <c r="F12" s="562"/>
      <c r="G12" s="1337" t="s">
        <v>603</v>
      </c>
      <c r="H12" s="1337"/>
      <c r="I12" s="1337"/>
      <c r="J12" s="562"/>
      <c r="K12" s="1337" t="s">
        <v>396</v>
      </c>
      <c r="L12" s="1337"/>
      <c r="M12" s="1337"/>
      <c r="N12" s="562"/>
      <c r="O12" s="1337" t="s">
        <v>604</v>
      </c>
      <c r="P12" s="1337"/>
      <c r="Q12" s="1337"/>
      <c r="R12" s="562"/>
      <c r="S12" s="849" t="s">
        <v>397</v>
      </c>
    </row>
    <row r="13" spans="1:19" ht="15">
      <c r="A13" s="562"/>
      <c r="B13" s="562"/>
      <c r="C13" s="563" t="s">
        <v>121</v>
      </c>
      <c r="D13" s="564"/>
      <c r="E13" s="564"/>
      <c r="F13" s="564"/>
      <c r="G13" s="565" t="s">
        <v>122</v>
      </c>
      <c r="H13" s="566"/>
      <c r="I13" s="566"/>
      <c r="J13" s="566"/>
      <c r="K13" s="567" t="s">
        <v>123</v>
      </c>
      <c r="L13" s="566"/>
      <c r="M13" s="566"/>
      <c r="N13" s="566"/>
      <c r="O13" s="568" t="s">
        <v>124</v>
      </c>
      <c r="P13" s="566"/>
      <c r="Q13" s="566"/>
      <c r="R13" s="566"/>
      <c r="S13" s="566"/>
    </row>
    <row r="14" spans="1:19" ht="15">
      <c r="A14" s="562"/>
      <c r="B14" s="562"/>
      <c r="C14" s="563" t="s">
        <v>114</v>
      </c>
      <c r="D14" s="564"/>
      <c r="E14" s="563" t="s">
        <v>398</v>
      </c>
      <c r="F14" s="564"/>
      <c r="G14" s="565" t="s">
        <v>605</v>
      </c>
      <c r="H14" s="564"/>
      <c r="I14" s="563" t="s">
        <v>398</v>
      </c>
      <c r="J14" s="564"/>
      <c r="K14" s="560"/>
      <c r="L14" s="564"/>
      <c r="M14" s="563" t="s">
        <v>398</v>
      </c>
      <c r="N14" s="564"/>
      <c r="O14" s="560"/>
      <c r="P14" s="564"/>
      <c r="Q14" s="563" t="s">
        <v>398</v>
      </c>
      <c r="R14" s="564"/>
      <c r="S14" s="563" t="s">
        <v>398</v>
      </c>
    </row>
    <row r="15" spans="1:19" ht="15">
      <c r="A15" s="562"/>
      <c r="B15" s="563" t="s">
        <v>399</v>
      </c>
      <c r="C15" s="563" t="s">
        <v>606</v>
      </c>
      <c r="D15" s="563" t="s">
        <v>400</v>
      </c>
      <c r="E15" s="563" t="s">
        <v>401</v>
      </c>
      <c r="F15" s="564"/>
      <c r="G15" s="565" t="s">
        <v>402</v>
      </c>
      <c r="H15" s="563" t="s">
        <v>400</v>
      </c>
      <c r="I15" s="563" t="s">
        <v>401</v>
      </c>
      <c r="J15" s="564"/>
      <c r="K15" s="563" t="s">
        <v>80</v>
      </c>
      <c r="L15" s="563" t="s">
        <v>400</v>
      </c>
      <c r="M15" s="563" t="s">
        <v>401</v>
      </c>
      <c r="N15" s="564"/>
      <c r="O15" s="563" t="s">
        <v>80</v>
      </c>
      <c r="P15" s="563" t="s">
        <v>400</v>
      </c>
      <c r="Q15" s="563" t="s">
        <v>401</v>
      </c>
      <c r="R15" s="564"/>
      <c r="S15" s="563" t="s">
        <v>401</v>
      </c>
    </row>
    <row r="16" spans="1:19" ht="15">
      <c r="A16" s="563"/>
      <c r="B16" s="563" t="s">
        <v>403</v>
      </c>
      <c r="C16" s="563" t="s">
        <v>404</v>
      </c>
      <c r="D16" s="563" t="s">
        <v>607</v>
      </c>
      <c r="E16" s="563" t="s">
        <v>405</v>
      </c>
      <c r="F16" s="564"/>
      <c r="G16" s="565" t="s">
        <v>404</v>
      </c>
      <c r="H16" s="563" t="s">
        <v>607</v>
      </c>
      <c r="I16" s="563" t="s">
        <v>405</v>
      </c>
      <c r="J16" s="564"/>
      <c r="K16" s="563" t="s">
        <v>404</v>
      </c>
      <c r="L16" s="563" t="s">
        <v>607</v>
      </c>
      <c r="M16" s="563" t="s">
        <v>405</v>
      </c>
      <c r="N16" s="564"/>
      <c r="O16" s="563" t="s">
        <v>404</v>
      </c>
      <c r="P16" s="563" t="s">
        <v>607</v>
      </c>
      <c r="Q16" s="563" t="s">
        <v>405</v>
      </c>
      <c r="R16" s="564"/>
      <c r="S16" s="563" t="s">
        <v>405</v>
      </c>
    </row>
    <row r="17" spans="1:19" ht="15">
      <c r="A17" s="560"/>
      <c r="B17" s="560"/>
      <c r="C17" s="560"/>
      <c r="D17" s="560"/>
      <c r="E17" s="560"/>
      <c r="F17" s="560"/>
      <c r="G17" s="219"/>
      <c r="H17" s="560"/>
      <c r="I17" s="560"/>
      <c r="J17" s="560"/>
      <c r="K17" s="560"/>
      <c r="L17" s="560"/>
      <c r="M17" s="560"/>
      <c r="N17" s="560"/>
      <c r="O17" s="560"/>
      <c r="P17" s="560"/>
      <c r="Q17" s="560"/>
      <c r="R17" s="560"/>
      <c r="S17" s="560"/>
    </row>
    <row r="18" spans="1:19" ht="15.75" thickBot="1">
      <c r="A18" s="569"/>
      <c r="B18" s="562"/>
      <c r="C18" s="213"/>
      <c r="D18" s="562"/>
      <c r="E18" s="562"/>
      <c r="F18" s="562"/>
      <c r="G18" s="213"/>
      <c r="H18" s="562"/>
      <c r="I18" s="562"/>
      <c r="J18" s="562"/>
      <c r="K18" s="213"/>
      <c r="L18" s="562"/>
      <c r="M18" s="562"/>
      <c r="N18" s="562"/>
      <c r="O18" s="213"/>
      <c r="P18" s="562"/>
      <c r="Q18" s="562"/>
      <c r="R18" s="562"/>
      <c r="S18" s="562"/>
    </row>
    <row r="19" spans="1:19" ht="15">
      <c r="A19" s="570" t="s">
        <v>406</v>
      </c>
      <c r="B19" s="571"/>
      <c r="C19" s="214"/>
      <c r="D19" s="215"/>
      <c r="E19" s="216"/>
      <c r="F19" s="571"/>
      <c r="G19" s="214"/>
      <c r="H19" s="217"/>
      <c r="I19" s="216"/>
      <c r="J19" s="571"/>
      <c r="K19" s="571"/>
      <c r="L19" s="217"/>
      <c r="M19" s="216"/>
      <c r="N19" s="571"/>
      <c r="O19" s="571"/>
      <c r="P19" s="215"/>
      <c r="Q19" s="216"/>
      <c r="R19" s="571"/>
      <c r="S19" s="216"/>
    </row>
    <row r="20" spans="1:19" ht="15">
      <c r="A20" s="572" t="s">
        <v>608</v>
      </c>
      <c r="B20" s="218">
        <v>350.1</v>
      </c>
      <c r="C20" s="213">
        <v>6.5839999999999996E-3</v>
      </c>
      <c r="D20" s="244">
        <v>1</v>
      </c>
      <c r="E20" s="213">
        <v>6.6E-3</v>
      </c>
      <c r="F20" s="562"/>
      <c r="G20" s="213"/>
      <c r="H20" s="220"/>
      <c r="I20" s="219"/>
      <c r="J20" s="562"/>
      <c r="K20" s="213"/>
      <c r="L20" s="220"/>
      <c r="M20" s="219"/>
      <c r="N20" s="562"/>
      <c r="O20" s="213"/>
      <c r="P20" s="244"/>
      <c r="Q20" s="219"/>
      <c r="R20" s="562"/>
      <c r="S20" s="213">
        <v>6.6E-3</v>
      </c>
    </row>
    <row r="21" spans="1:19" ht="15">
      <c r="A21" s="572" t="s">
        <v>609</v>
      </c>
      <c r="B21" s="218">
        <v>351</v>
      </c>
      <c r="C21" s="213"/>
      <c r="D21" s="244"/>
      <c r="E21" s="213"/>
      <c r="F21" s="562"/>
      <c r="G21" s="213">
        <v>0.14219999999999999</v>
      </c>
      <c r="H21" s="220">
        <v>1</v>
      </c>
      <c r="I21" s="213">
        <v>0.14219999999999999</v>
      </c>
      <c r="J21" s="562"/>
      <c r="K21" s="213"/>
      <c r="L21" s="220"/>
      <c r="M21" s="219"/>
      <c r="N21" s="562"/>
      <c r="O21" s="213"/>
      <c r="P21" s="244"/>
      <c r="Q21" s="219"/>
      <c r="R21" s="562"/>
      <c r="S21" s="213">
        <v>0.14219999999999999</v>
      </c>
    </row>
    <row r="22" spans="1:19" ht="15">
      <c r="A22" s="560" t="s">
        <v>407</v>
      </c>
      <c r="B22" s="218">
        <v>352</v>
      </c>
      <c r="C22" s="213">
        <v>2.2200000000000001E-2</v>
      </c>
      <c r="D22" s="220">
        <v>0.51122100000000004</v>
      </c>
      <c r="E22" s="213">
        <v>1.1299999999999999E-2</v>
      </c>
      <c r="F22" s="562"/>
      <c r="G22" s="213">
        <v>1.6199999999999999E-2</v>
      </c>
      <c r="H22" s="220">
        <v>0.39937400000000001</v>
      </c>
      <c r="I22" s="213">
        <v>6.4999999999999997E-3</v>
      </c>
      <c r="J22" s="562"/>
      <c r="K22" s="213">
        <v>2.1899999999999999E-2</v>
      </c>
      <c r="L22" s="220">
        <v>3.3013000000000001E-2</v>
      </c>
      <c r="M22" s="213">
        <v>6.9999999999999999E-4</v>
      </c>
      <c r="N22" s="562"/>
      <c r="O22" s="213">
        <v>2.1899999999999999E-2</v>
      </c>
      <c r="P22" s="220">
        <v>5.6391999999999998E-2</v>
      </c>
      <c r="Q22" s="213">
        <v>1.1999999999999999E-3</v>
      </c>
      <c r="R22" s="562"/>
      <c r="S22" s="213">
        <v>1.9699999999999999E-2</v>
      </c>
    </row>
    <row r="23" spans="1:19" ht="15">
      <c r="A23" s="560" t="s">
        <v>408</v>
      </c>
      <c r="B23" s="218">
        <v>353</v>
      </c>
      <c r="C23" s="213">
        <v>2.75E-2</v>
      </c>
      <c r="D23" s="220">
        <v>0.51122100000000004</v>
      </c>
      <c r="E23" s="213">
        <v>1.41E-2</v>
      </c>
      <c r="F23" s="562"/>
      <c r="G23" s="213">
        <v>2.3699999999999999E-2</v>
      </c>
      <c r="H23" s="220">
        <v>0.39937400000000001</v>
      </c>
      <c r="I23" s="213">
        <v>9.4999999999999998E-3</v>
      </c>
      <c r="J23" s="562"/>
      <c r="K23" s="213">
        <v>2.1899999999999999E-2</v>
      </c>
      <c r="L23" s="220">
        <v>3.3013000000000001E-2</v>
      </c>
      <c r="M23" s="213">
        <v>6.9999999999999999E-4</v>
      </c>
      <c r="N23" s="562"/>
      <c r="O23" s="213">
        <v>2.1899999999999999E-2</v>
      </c>
      <c r="P23" s="220">
        <v>5.6391999999999998E-2</v>
      </c>
      <c r="Q23" s="213">
        <v>1.1999999999999999E-3</v>
      </c>
      <c r="R23" s="562"/>
      <c r="S23" s="213">
        <v>2.5499999999999998E-2</v>
      </c>
    </row>
    <row r="24" spans="1:19" ht="15">
      <c r="A24" s="560" t="s">
        <v>409</v>
      </c>
      <c r="B24" s="218">
        <v>354</v>
      </c>
      <c r="C24" s="213">
        <v>1.6299999999999999E-2</v>
      </c>
      <c r="D24" s="220">
        <v>0.51122100000000004</v>
      </c>
      <c r="E24" s="213">
        <v>8.3000000000000001E-3</v>
      </c>
      <c r="F24" s="562"/>
      <c r="G24" s="213">
        <v>1.5900000000000001E-2</v>
      </c>
      <c r="H24" s="220">
        <v>0.39937400000000001</v>
      </c>
      <c r="I24" s="213">
        <v>6.4000000000000003E-3</v>
      </c>
      <c r="J24" s="562"/>
      <c r="K24" s="213">
        <v>2.1899999999999999E-2</v>
      </c>
      <c r="L24" s="220">
        <v>3.3013000000000001E-2</v>
      </c>
      <c r="M24" s="213">
        <v>6.9999999999999999E-4</v>
      </c>
      <c r="N24" s="562"/>
      <c r="O24" s="213">
        <v>2.1899999999999999E-2</v>
      </c>
      <c r="P24" s="220">
        <v>5.6391999999999998E-2</v>
      </c>
      <c r="Q24" s="213">
        <v>1.1999999999999999E-3</v>
      </c>
      <c r="R24" s="562"/>
      <c r="S24" s="213">
        <v>1.66E-2</v>
      </c>
    </row>
    <row r="25" spans="1:19" ht="15">
      <c r="A25" s="560" t="s">
        <v>410</v>
      </c>
      <c r="B25" s="218">
        <v>355</v>
      </c>
      <c r="C25" s="213">
        <v>3.7199999999999997E-2</v>
      </c>
      <c r="D25" s="220">
        <v>0.51122100000000004</v>
      </c>
      <c r="E25" s="213">
        <v>1.9E-2</v>
      </c>
      <c r="F25" s="562"/>
      <c r="G25" s="213">
        <v>2.7099999999999999E-2</v>
      </c>
      <c r="H25" s="220">
        <v>0.39937400000000001</v>
      </c>
      <c r="I25" s="213">
        <v>1.0800000000000001E-2</v>
      </c>
      <c r="J25" s="562"/>
      <c r="K25" s="213">
        <v>2.1899999999999999E-2</v>
      </c>
      <c r="L25" s="220">
        <v>3.3013000000000001E-2</v>
      </c>
      <c r="M25" s="213">
        <v>6.9999999999999999E-4</v>
      </c>
      <c r="N25" s="562"/>
      <c r="O25" s="213">
        <v>2.1899999999999999E-2</v>
      </c>
      <c r="P25" s="220">
        <v>5.6391999999999998E-2</v>
      </c>
      <c r="Q25" s="213">
        <v>1.1999999999999999E-3</v>
      </c>
      <c r="R25" s="562"/>
      <c r="S25" s="213">
        <v>3.1699999999999999E-2</v>
      </c>
    </row>
    <row r="26" spans="1:19" ht="15">
      <c r="A26" s="560" t="s">
        <v>610</v>
      </c>
      <c r="B26" s="218">
        <v>356</v>
      </c>
      <c r="C26" s="213">
        <v>1.9900000000000001E-2</v>
      </c>
      <c r="D26" s="220">
        <v>0.51122100000000004</v>
      </c>
      <c r="E26" s="213">
        <v>1.0200000000000001E-2</v>
      </c>
      <c r="F26" s="562"/>
      <c r="G26" s="213">
        <v>1.5299999999999999E-2</v>
      </c>
      <c r="H26" s="220">
        <v>0.39937400000000001</v>
      </c>
      <c r="I26" s="213">
        <v>6.1000000000000004E-3</v>
      </c>
      <c r="J26" s="562"/>
      <c r="K26" s="213">
        <v>2.1899999999999999E-2</v>
      </c>
      <c r="L26" s="220">
        <v>3.3013000000000001E-2</v>
      </c>
      <c r="M26" s="213">
        <v>6.9999999999999999E-4</v>
      </c>
      <c r="N26" s="562"/>
      <c r="O26" s="213">
        <v>2.1899999999999999E-2</v>
      </c>
      <c r="P26" s="220">
        <v>5.6391999999999998E-2</v>
      </c>
      <c r="Q26" s="213">
        <v>1.1999999999999999E-3</v>
      </c>
      <c r="R26" s="562"/>
      <c r="S26" s="213">
        <v>1.8200000000000001E-2</v>
      </c>
    </row>
    <row r="27" spans="1:19" ht="15">
      <c r="A27" s="560" t="s">
        <v>411</v>
      </c>
      <c r="B27" s="218">
        <v>357</v>
      </c>
      <c r="C27" s="213">
        <v>2.4E-2</v>
      </c>
      <c r="D27" s="220">
        <v>0.51122100000000004</v>
      </c>
      <c r="E27" s="213">
        <v>1.23E-2</v>
      </c>
      <c r="F27" s="562"/>
      <c r="G27" s="213">
        <v>3.7100000000000001E-2</v>
      </c>
      <c r="H27" s="220">
        <v>0.39937400000000001</v>
      </c>
      <c r="I27" s="213">
        <v>1.4800000000000001E-2</v>
      </c>
      <c r="J27" s="562"/>
      <c r="K27" s="213">
        <v>2.1899999999999999E-2</v>
      </c>
      <c r="L27" s="220">
        <v>3.3013000000000001E-2</v>
      </c>
      <c r="M27" s="213">
        <v>6.9999999999999999E-4</v>
      </c>
      <c r="N27" s="562"/>
      <c r="O27" s="213">
        <v>2.1899999999999999E-2</v>
      </c>
      <c r="P27" s="220">
        <v>5.6391999999999998E-2</v>
      </c>
      <c r="Q27" s="213">
        <v>1.1999999999999999E-3</v>
      </c>
      <c r="R27" s="562"/>
      <c r="S27" s="213">
        <v>2.9000000000000001E-2</v>
      </c>
    </row>
    <row r="28" spans="1:19" ht="15">
      <c r="A28" s="560" t="s">
        <v>412</v>
      </c>
      <c r="B28" s="218">
        <v>358</v>
      </c>
      <c r="C28" s="213">
        <v>4.6399999999999997E-2</v>
      </c>
      <c r="D28" s="220">
        <v>0.51122100000000004</v>
      </c>
      <c r="E28" s="213">
        <v>2.3699999999999999E-2</v>
      </c>
      <c r="F28" s="562"/>
      <c r="G28" s="213">
        <v>5.2400000000000002E-2</v>
      </c>
      <c r="H28" s="220">
        <v>0.39937400000000001</v>
      </c>
      <c r="I28" s="213">
        <v>2.0899999999999998E-2</v>
      </c>
      <c r="J28" s="562"/>
      <c r="K28" s="213">
        <v>2.1899999999999999E-2</v>
      </c>
      <c r="L28" s="220">
        <v>3.3013000000000001E-2</v>
      </c>
      <c r="M28" s="213">
        <v>6.9999999999999999E-4</v>
      </c>
      <c r="N28" s="562"/>
      <c r="O28" s="213">
        <v>2.1899999999999999E-2</v>
      </c>
      <c r="P28" s="220">
        <v>5.6391999999999998E-2</v>
      </c>
      <c r="Q28" s="213">
        <v>1.1999999999999999E-3</v>
      </c>
      <c r="R28" s="562"/>
      <c r="S28" s="213">
        <v>4.65E-2</v>
      </c>
    </row>
    <row r="29" spans="1:19" ht="15.75" thickBot="1">
      <c r="A29" s="560"/>
      <c r="B29" s="562"/>
      <c r="C29" s="213"/>
      <c r="D29" s="244"/>
      <c r="E29" s="219"/>
      <c r="F29" s="562"/>
      <c r="G29" s="213"/>
      <c r="H29" s="244"/>
      <c r="I29" s="219"/>
      <c r="J29" s="562"/>
      <c r="K29" s="213"/>
      <c r="L29" s="244"/>
      <c r="M29" s="219"/>
      <c r="N29" s="562"/>
      <c r="O29" s="213"/>
      <c r="P29" s="244"/>
      <c r="Q29" s="213"/>
      <c r="R29" s="562"/>
      <c r="S29" s="213"/>
    </row>
    <row r="30" spans="1:19" ht="15">
      <c r="A30" s="1026" t="s">
        <v>982</v>
      </c>
      <c r="B30" s="1027"/>
      <c r="C30" s="1028"/>
      <c r="D30" s="1029"/>
      <c r="E30" s="1030"/>
      <c r="F30" s="1027"/>
      <c r="G30" s="1028"/>
      <c r="H30" s="1029"/>
      <c r="I30" s="1030"/>
      <c r="J30" s="1027"/>
      <c r="K30" s="1027"/>
      <c r="L30" s="1029"/>
      <c r="M30" s="1030"/>
      <c r="N30" s="1027"/>
      <c r="O30" s="1027"/>
      <c r="P30" s="1029"/>
      <c r="Q30" s="1030"/>
      <c r="R30" s="1027"/>
      <c r="S30" s="1031"/>
    </row>
    <row r="31" spans="1:19" ht="15">
      <c r="A31" s="572" t="s">
        <v>806</v>
      </c>
      <c r="B31" s="218">
        <v>390</v>
      </c>
      <c r="C31" s="213">
        <v>2.06E-2</v>
      </c>
      <c r="D31" s="244">
        <v>0.523756</v>
      </c>
      <c r="E31" s="213">
        <v>1.0800000000000001E-2</v>
      </c>
      <c r="F31" s="562"/>
      <c r="G31" s="213">
        <v>1.9099999999999999E-2</v>
      </c>
      <c r="H31" s="220">
        <v>0.42593999999999999</v>
      </c>
      <c r="I31" s="213">
        <v>8.0999999999999996E-3</v>
      </c>
      <c r="J31" s="562"/>
      <c r="K31" s="213">
        <v>3.4300000000000004E-2</v>
      </c>
      <c r="L31" s="220">
        <v>1.9295E-2</v>
      </c>
      <c r="M31" s="213">
        <v>6.9999999999999999E-4</v>
      </c>
      <c r="N31" s="562"/>
      <c r="O31" s="213">
        <v>3.4300000000000004E-2</v>
      </c>
      <c r="P31" s="244">
        <v>3.1008999999999998E-2</v>
      </c>
      <c r="Q31" s="213">
        <v>1.1000000000000001E-3</v>
      </c>
      <c r="R31" s="562"/>
      <c r="S31" s="213">
        <v>2.07E-2</v>
      </c>
    </row>
    <row r="32" spans="1:19" ht="15">
      <c r="A32" s="572" t="s">
        <v>807</v>
      </c>
      <c r="B32" s="218">
        <v>391</v>
      </c>
      <c r="C32" s="213">
        <v>3.2500000000000001E-2</v>
      </c>
      <c r="D32" s="244">
        <v>0.523756</v>
      </c>
      <c r="E32" s="213">
        <v>1.7000000000000001E-2</v>
      </c>
      <c r="F32" s="562"/>
      <c r="G32" s="213">
        <v>3.1699999999999999E-2</v>
      </c>
      <c r="H32" s="220">
        <v>0.42593999999999999</v>
      </c>
      <c r="I32" s="213">
        <v>1.35E-2</v>
      </c>
      <c r="J32" s="562"/>
      <c r="K32" s="213">
        <v>3.4300000000000004E-2</v>
      </c>
      <c r="L32" s="220">
        <v>1.9295E-2</v>
      </c>
      <c r="M32" s="213">
        <v>6.9999999999999999E-4</v>
      </c>
      <c r="N32" s="562"/>
      <c r="O32" s="213">
        <v>3.4300000000000004E-2</v>
      </c>
      <c r="P32" s="244">
        <v>3.1008999999999998E-2</v>
      </c>
      <c r="Q32" s="213">
        <v>1.1000000000000001E-3</v>
      </c>
      <c r="R32" s="562"/>
      <c r="S32" s="213">
        <v>3.2300000000000002E-2</v>
      </c>
    </row>
    <row r="33" spans="1:19" ht="15">
      <c r="A33" s="572" t="s">
        <v>983</v>
      </c>
      <c r="B33" s="218">
        <v>392</v>
      </c>
      <c r="C33" s="213">
        <v>3.4500000000000003E-2</v>
      </c>
      <c r="D33" s="220">
        <v>0.523756</v>
      </c>
      <c r="E33" s="213">
        <v>1.8100000000000002E-2</v>
      </c>
      <c r="F33" s="562"/>
      <c r="G33" s="213">
        <v>3.4000000000000002E-2</v>
      </c>
      <c r="H33" s="220">
        <v>0.42593999999999999</v>
      </c>
      <c r="I33" s="213">
        <v>1.4500000000000001E-2</v>
      </c>
      <c r="J33" s="562"/>
      <c r="K33" s="213">
        <v>3.4300000000000004E-2</v>
      </c>
      <c r="L33" s="220">
        <v>1.9295E-2</v>
      </c>
      <c r="M33" s="213">
        <v>6.9999999999999999E-4</v>
      </c>
      <c r="N33" s="562"/>
      <c r="O33" s="213">
        <v>3.4300000000000004E-2</v>
      </c>
      <c r="P33" s="220">
        <v>3.1008999999999998E-2</v>
      </c>
      <c r="Q33" s="213">
        <v>1.1000000000000001E-3</v>
      </c>
      <c r="R33" s="562"/>
      <c r="S33" s="213">
        <v>3.44E-2</v>
      </c>
    </row>
    <row r="34" spans="1:19" ht="15">
      <c r="A34" s="572" t="s">
        <v>808</v>
      </c>
      <c r="B34" s="218">
        <v>393</v>
      </c>
      <c r="C34" s="213">
        <v>1.78E-2</v>
      </c>
      <c r="D34" s="220">
        <v>0.523756</v>
      </c>
      <c r="E34" s="213">
        <v>9.2999999999999992E-3</v>
      </c>
      <c r="F34" s="562"/>
      <c r="G34" s="213">
        <v>1.7999999999999999E-2</v>
      </c>
      <c r="H34" s="220">
        <v>0.42593999999999999</v>
      </c>
      <c r="I34" s="213">
        <v>7.7000000000000002E-3</v>
      </c>
      <c r="J34" s="562"/>
      <c r="K34" s="213">
        <v>3.4300000000000004E-2</v>
      </c>
      <c r="L34" s="220">
        <v>1.9295E-2</v>
      </c>
      <c r="M34" s="213">
        <v>6.9999999999999999E-4</v>
      </c>
      <c r="N34" s="562"/>
      <c r="O34" s="213">
        <v>3.4300000000000004E-2</v>
      </c>
      <c r="P34" s="220">
        <v>3.1008999999999998E-2</v>
      </c>
      <c r="Q34" s="213">
        <v>1.1000000000000001E-3</v>
      </c>
      <c r="R34" s="562"/>
      <c r="S34" s="213">
        <v>1.8800000000000001E-2</v>
      </c>
    </row>
    <row r="35" spans="1:19" ht="15.75" customHeight="1">
      <c r="A35" s="572" t="s">
        <v>809</v>
      </c>
      <c r="B35" s="218">
        <v>394</v>
      </c>
      <c r="C35" s="213">
        <v>2.5899999999999999E-2</v>
      </c>
      <c r="D35" s="220">
        <v>0.523756</v>
      </c>
      <c r="E35" s="213">
        <v>1.3599999999999999E-2</v>
      </c>
      <c r="F35" s="562"/>
      <c r="G35" s="213">
        <v>2.5700000000000001E-2</v>
      </c>
      <c r="H35" s="220">
        <v>0.42593999999999999</v>
      </c>
      <c r="I35" s="213">
        <v>1.09E-2</v>
      </c>
      <c r="J35" s="562"/>
      <c r="K35" s="213">
        <v>3.4300000000000004E-2</v>
      </c>
      <c r="L35" s="220">
        <v>1.9295E-2</v>
      </c>
      <c r="M35" s="213">
        <v>6.9999999999999999E-4</v>
      </c>
      <c r="N35" s="562"/>
      <c r="O35" s="213">
        <v>3.4300000000000004E-2</v>
      </c>
      <c r="P35" s="220">
        <v>3.1008999999999998E-2</v>
      </c>
      <c r="Q35" s="213">
        <v>1.1000000000000001E-3</v>
      </c>
      <c r="R35" s="562"/>
      <c r="S35" s="213">
        <v>2.63E-2</v>
      </c>
    </row>
    <row r="36" spans="1:19" ht="15.75" customHeight="1">
      <c r="A36" s="572" t="s">
        <v>810</v>
      </c>
      <c r="B36" s="218">
        <v>395</v>
      </c>
      <c r="C36" s="213">
        <v>3.5000000000000003E-2</v>
      </c>
      <c r="D36" s="220">
        <v>0.523756</v>
      </c>
      <c r="E36" s="213">
        <v>1.83E-2</v>
      </c>
      <c r="F36" s="562"/>
      <c r="G36" s="213">
        <v>4.0099999999999997E-2</v>
      </c>
      <c r="H36" s="220">
        <v>0.42593999999999999</v>
      </c>
      <c r="I36" s="213">
        <v>1.7100000000000001E-2</v>
      </c>
      <c r="J36" s="562"/>
      <c r="K36" s="213">
        <v>3.4300000000000004E-2</v>
      </c>
      <c r="L36" s="220">
        <v>1.9295E-2</v>
      </c>
      <c r="M36" s="213">
        <v>6.9999999999999999E-4</v>
      </c>
      <c r="N36" s="562"/>
      <c r="O36" s="213">
        <v>3.4300000000000004E-2</v>
      </c>
      <c r="P36" s="220">
        <v>3.1008999999999998E-2</v>
      </c>
      <c r="Q36" s="213">
        <v>1.1000000000000001E-3</v>
      </c>
      <c r="R36" s="562"/>
      <c r="S36" s="213">
        <v>3.7199999999999997E-2</v>
      </c>
    </row>
    <row r="37" spans="1:19" ht="15.75" customHeight="1">
      <c r="A37" s="572" t="s">
        <v>984</v>
      </c>
      <c r="B37" s="218">
        <v>396</v>
      </c>
      <c r="C37" s="213">
        <v>4.1599999999999998E-2</v>
      </c>
      <c r="D37" s="220">
        <v>0.523756</v>
      </c>
      <c r="E37" s="213">
        <v>2.18E-2</v>
      </c>
      <c r="F37" s="562"/>
      <c r="G37" s="213">
        <v>3.9E-2</v>
      </c>
      <c r="H37" s="220">
        <v>0.42593999999999999</v>
      </c>
      <c r="I37" s="213">
        <v>1.66E-2</v>
      </c>
      <c r="J37" s="562"/>
      <c r="K37" s="213">
        <v>3.4300000000000004E-2</v>
      </c>
      <c r="L37" s="220">
        <v>1.9295E-2</v>
      </c>
      <c r="M37" s="213">
        <v>6.9999999999999999E-4</v>
      </c>
      <c r="N37" s="562"/>
      <c r="O37" s="213">
        <v>3.4300000000000004E-2</v>
      </c>
      <c r="P37" s="220">
        <v>3.1008999999999998E-2</v>
      </c>
      <c r="Q37" s="213">
        <v>1.1000000000000001E-3</v>
      </c>
      <c r="R37" s="562"/>
      <c r="S37" s="213">
        <v>4.02E-2</v>
      </c>
    </row>
    <row r="38" spans="1:19" ht="15">
      <c r="A38" s="572" t="s">
        <v>811</v>
      </c>
      <c r="B38" s="218">
        <v>397</v>
      </c>
      <c r="C38" s="213">
        <v>5.0200000000000002E-2</v>
      </c>
      <c r="D38" s="220">
        <v>0.523756</v>
      </c>
      <c r="E38" s="213">
        <v>2.63E-2</v>
      </c>
      <c r="F38" s="562"/>
      <c r="G38" s="213">
        <v>4.9799999999999997E-2</v>
      </c>
      <c r="H38" s="220">
        <v>0.42593999999999999</v>
      </c>
      <c r="I38" s="213">
        <v>2.12E-2</v>
      </c>
      <c r="J38" s="562"/>
      <c r="K38" s="213">
        <v>3.4300000000000004E-2</v>
      </c>
      <c r="L38" s="220">
        <v>1.9295E-2</v>
      </c>
      <c r="M38" s="213">
        <v>6.9999999999999999E-4</v>
      </c>
      <c r="N38" s="562"/>
      <c r="O38" s="213">
        <v>3.4300000000000004E-2</v>
      </c>
      <c r="P38" s="220">
        <v>3.1008999999999998E-2</v>
      </c>
      <c r="Q38" s="213">
        <v>1.1000000000000001E-3</v>
      </c>
      <c r="R38" s="562"/>
      <c r="S38" s="213">
        <v>4.9299999999999997E-2</v>
      </c>
    </row>
    <row r="39" spans="1:19" ht="15">
      <c r="A39" s="572" t="s">
        <v>812</v>
      </c>
      <c r="B39" s="218">
        <v>398</v>
      </c>
      <c r="C39" s="213">
        <v>2.7099999999999999E-2</v>
      </c>
      <c r="D39" s="220">
        <v>0.523756</v>
      </c>
      <c r="E39" s="213">
        <v>1.4200000000000001E-2</v>
      </c>
      <c r="F39" s="562"/>
      <c r="G39" s="213">
        <v>2.7E-2</v>
      </c>
      <c r="H39" s="220">
        <v>0.42593999999999999</v>
      </c>
      <c r="I39" s="213">
        <v>1.15E-2</v>
      </c>
      <c r="J39" s="562"/>
      <c r="K39" s="213">
        <v>3.4300000000000004E-2</v>
      </c>
      <c r="L39" s="220">
        <v>1.9295E-2</v>
      </c>
      <c r="M39" s="213">
        <v>6.9999999999999999E-4</v>
      </c>
      <c r="N39" s="562"/>
      <c r="O39" s="213">
        <v>3.4300000000000004E-2</v>
      </c>
      <c r="P39" s="220">
        <v>3.1008999999999998E-2</v>
      </c>
      <c r="Q39" s="213">
        <v>1.1000000000000001E-3</v>
      </c>
      <c r="R39" s="562"/>
      <c r="S39" s="213">
        <v>2.75E-2</v>
      </c>
    </row>
    <row r="40" spans="1:19" ht="15.75" thickBot="1">
      <c r="A40" s="1032"/>
      <c r="B40" s="1033"/>
      <c r="C40" s="1034"/>
      <c r="D40" s="1035"/>
      <c r="E40" s="1036"/>
      <c r="F40" s="1033"/>
      <c r="G40" s="1036"/>
      <c r="H40" s="1035"/>
      <c r="I40" s="1036"/>
      <c r="J40" s="1033"/>
      <c r="K40" s="1034"/>
      <c r="L40" s="1035"/>
      <c r="M40" s="1036"/>
      <c r="N40" s="1033"/>
      <c r="O40" s="1034"/>
      <c r="P40" s="1035"/>
      <c r="Q40" s="1036"/>
      <c r="R40" s="1033"/>
      <c r="S40" s="1036"/>
    </row>
    <row r="41" spans="1:19" ht="15">
      <c r="A41" s="560"/>
      <c r="B41" s="562"/>
      <c r="C41" s="213"/>
      <c r="D41" s="560"/>
      <c r="E41" s="560"/>
      <c r="F41" s="560"/>
      <c r="G41" s="219"/>
      <c r="H41" s="560"/>
      <c r="I41" s="560"/>
      <c r="J41" s="560"/>
      <c r="K41" s="560"/>
      <c r="L41" s="560"/>
      <c r="M41" s="560"/>
      <c r="N41" s="560"/>
      <c r="O41" s="560"/>
      <c r="P41" s="560"/>
      <c r="Q41" s="560"/>
      <c r="R41" s="560"/>
      <c r="S41" s="560"/>
    </row>
    <row r="42" spans="1:19" ht="15" customHeight="1">
      <c r="A42" s="1334" t="s">
        <v>1237</v>
      </c>
      <c r="B42" s="1334"/>
      <c r="C42" s="1334"/>
      <c r="D42" s="1334"/>
      <c r="F42" s="1175" t="s">
        <v>123</v>
      </c>
      <c r="G42" s="1176" t="s">
        <v>1076</v>
      </c>
      <c r="H42" s="1095"/>
      <c r="L42" s="1177" t="s">
        <v>612</v>
      </c>
      <c r="M42" t="s">
        <v>1238</v>
      </c>
    </row>
    <row r="43" spans="1:19">
      <c r="A43" s="1334"/>
      <c r="B43" s="1334"/>
      <c r="C43" s="1334"/>
      <c r="D43" s="1334"/>
      <c r="F43" s="1178"/>
      <c r="G43" s="1176"/>
      <c r="H43" s="1095"/>
      <c r="M43" t="s">
        <v>1239</v>
      </c>
    </row>
    <row r="44" spans="1:19" ht="15" customHeight="1">
      <c r="A44" s="1334"/>
      <c r="B44" s="1334"/>
      <c r="C44" s="1334"/>
      <c r="D44" s="1334"/>
      <c r="F44" s="1177" t="s">
        <v>611</v>
      </c>
      <c r="G44" s="1176" t="s">
        <v>1077</v>
      </c>
      <c r="M44" t="s">
        <v>613</v>
      </c>
    </row>
    <row r="45" spans="1:19">
      <c r="A45" s="1334"/>
      <c r="B45" s="1334"/>
      <c r="C45" s="1334"/>
      <c r="D45" s="1334"/>
      <c r="F45" s="1178"/>
      <c r="G45" s="1176"/>
      <c r="H45" s="1095"/>
    </row>
    <row r="46" spans="1:19" ht="15.75" customHeight="1">
      <c r="A46" t="s">
        <v>1240</v>
      </c>
      <c r="B46" s="1179"/>
      <c r="C46" s="1180"/>
      <c r="D46" s="1179"/>
      <c r="E46" s="1179"/>
      <c r="F46" s="1177"/>
      <c r="H46" s="1095"/>
      <c r="L46" s="1177" t="s">
        <v>614</v>
      </c>
      <c r="M46" t="s">
        <v>1078</v>
      </c>
    </row>
    <row r="47" spans="1:19" ht="15.75" customHeight="1">
      <c r="B47" s="1179"/>
      <c r="C47" s="1180"/>
      <c r="D47" s="1181"/>
      <c r="E47" s="1181"/>
      <c r="F47" s="1182"/>
      <c r="M47" t="s">
        <v>1079</v>
      </c>
    </row>
    <row r="48" spans="1:19" ht="15.75" customHeight="1">
      <c r="A48" t="s">
        <v>1074</v>
      </c>
      <c r="B48" s="1179"/>
      <c r="C48" s="1180"/>
      <c r="D48" s="1179"/>
      <c r="E48" s="1179"/>
      <c r="G48" s="1176"/>
      <c r="O48" s="1183"/>
    </row>
    <row r="49" spans="1:19" ht="15.75">
      <c r="A49" t="s">
        <v>1075</v>
      </c>
      <c r="B49" s="1179"/>
      <c r="C49" s="1180"/>
      <c r="D49" s="1179"/>
      <c r="E49" s="1179"/>
      <c r="G49" s="1176"/>
      <c r="L49" s="1177" t="s">
        <v>1241</v>
      </c>
      <c r="M49" s="1303" t="s">
        <v>1242</v>
      </c>
      <c r="N49" s="1303"/>
      <c r="O49" s="1303"/>
      <c r="P49" s="1303"/>
      <c r="Q49" s="1303"/>
      <c r="R49" s="1303"/>
      <c r="S49" s="1303"/>
    </row>
    <row r="50" spans="1:19" ht="15.75" customHeight="1">
      <c r="B50" s="1179"/>
      <c r="C50" s="1180"/>
      <c r="D50" s="1181"/>
      <c r="E50" s="1181"/>
      <c r="G50" s="1176"/>
      <c r="M50" s="1303"/>
      <c r="N50" s="1303"/>
      <c r="O50" s="1303"/>
      <c r="P50" s="1303"/>
      <c r="Q50" s="1303"/>
      <c r="R50" s="1303"/>
      <c r="S50" s="1303"/>
    </row>
    <row r="51" spans="1:19">
      <c r="B51" s="1184"/>
      <c r="C51" s="1185"/>
      <c r="G51" s="1176"/>
      <c r="M51" s="1303"/>
      <c r="N51" s="1303"/>
      <c r="O51" s="1303"/>
      <c r="P51" s="1303"/>
      <c r="Q51" s="1303"/>
      <c r="R51" s="1303"/>
      <c r="S51" s="1303"/>
    </row>
    <row r="52" spans="1:19" ht="15">
      <c r="A52" s="574" t="s">
        <v>29</v>
      </c>
      <c r="B52" s="575"/>
      <c r="C52" s="575"/>
      <c r="D52" s="576"/>
      <c r="E52" s="560"/>
      <c r="F52" s="560"/>
      <c r="G52" s="219"/>
      <c r="H52" s="560"/>
      <c r="I52" s="560"/>
      <c r="J52" s="560"/>
      <c r="K52" s="560"/>
      <c r="L52" s="560"/>
      <c r="M52" s="560"/>
      <c r="N52" s="560"/>
      <c r="O52" s="573"/>
      <c r="P52" s="560"/>
      <c r="Q52" s="560"/>
      <c r="R52" s="560"/>
      <c r="S52" s="560"/>
    </row>
    <row r="53" spans="1:19" ht="15">
      <c r="A53" s="1331" t="s">
        <v>615</v>
      </c>
      <c r="B53" s="1332"/>
      <c r="C53" s="1332"/>
      <c r="D53" s="1332"/>
      <c r="E53" s="1332"/>
      <c r="F53" s="1332"/>
      <c r="G53" s="1332"/>
      <c r="H53" s="1332"/>
      <c r="I53" s="1332"/>
      <c r="J53" s="1332"/>
      <c r="K53" s="1332"/>
      <c r="L53" s="1332"/>
      <c r="M53" s="1332"/>
      <c r="N53" s="1332"/>
      <c r="O53" s="560"/>
      <c r="P53" s="560"/>
      <c r="Q53" s="560"/>
      <c r="R53" s="560"/>
      <c r="S53" s="560"/>
    </row>
    <row r="54" spans="1:19" ht="15">
      <c r="A54" s="1332"/>
      <c r="B54" s="1332"/>
      <c r="C54" s="1332"/>
      <c r="D54" s="1332"/>
      <c r="E54" s="1332"/>
      <c r="F54" s="1332"/>
      <c r="G54" s="1332"/>
      <c r="H54" s="1332"/>
      <c r="I54" s="1332"/>
      <c r="J54" s="1332"/>
      <c r="K54" s="1332"/>
      <c r="L54" s="1332"/>
      <c r="M54" s="1332"/>
      <c r="N54" s="1332"/>
      <c r="O54" s="560"/>
      <c r="P54" s="560"/>
      <c r="Q54" s="560"/>
      <c r="R54" s="560"/>
      <c r="S54" s="560"/>
    </row>
    <row r="55" spans="1:19" ht="15">
      <c r="A55" s="1246" t="s">
        <v>821</v>
      </c>
      <c r="B55" s="1246"/>
      <c r="C55" s="1246"/>
      <c r="D55" s="1246"/>
      <c r="E55" s="1246"/>
      <c r="F55" s="1246"/>
      <c r="G55" s="1246"/>
      <c r="H55" s="1246"/>
      <c r="I55" s="1246"/>
      <c r="J55" s="1246"/>
      <c r="K55" s="1246"/>
      <c r="L55" s="1246"/>
      <c r="M55" s="1246"/>
      <c r="N55" s="1246"/>
      <c r="O55" s="560"/>
      <c r="P55" s="560"/>
      <c r="Q55" s="560"/>
      <c r="R55" s="560"/>
      <c r="S55" s="560"/>
    </row>
    <row r="56" spans="1:19" ht="15">
      <c r="A56" s="1246"/>
      <c r="B56" s="1246"/>
      <c r="C56" s="1246"/>
      <c r="D56" s="1246"/>
      <c r="E56" s="1246"/>
      <c r="F56" s="1246"/>
      <c r="G56" s="1246"/>
      <c r="H56" s="1246"/>
      <c r="I56" s="1246"/>
      <c r="J56" s="1246"/>
      <c r="K56" s="1246"/>
      <c r="L56" s="1246"/>
      <c r="M56" s="1246"/>
      <c r="N56" s="1246"/>
      <c r="O56" s="560"/>
      <c r="P56" s="560"/>
      <c r="Q56" s="560"/>
      <c r="R56" s="560"/>
      <c r="S56" s="560"/>
    </row>
  </sheetData>
  <mergeCells count="16">
    <mergeCell ref="A55:N56"/>
    <mergeCell ref="A53:N54"/>
    <mergeCell ref="A3:O3"/>
    <mergeCell ref="A6:O6"/>
    <mergeCell ref="A7:O7"/>
    <mergeCell ref="A4:O4"/>
    <mergeCell ref="A5:O5"/>
    <mergeCell ref="A42:D45"/>
    <mergeCell ref="M49:S51"/>
    <mergeCell ref="A8:O8"/>
    <mergeCell ref="A9:O9"/>
    <mergeCell ref="A10:O10"/>
    <mergeCell ref="C12:E12"/>
    <mergeCell ref="G12:I12"/>
    <mergeCell ref="K12:M12"/>
    <mergeCell ref="O12:Q12"/>
  </mergeCells>
  <phoneticPr fontId="6" type="noConversion"/>
  <conditionalFormatting sqref="A3 A4:S9 A10 P10:S10 A40:N45 O40:S56">
    <cfRule type="cellIs" dxfId="12" priority="20" stopIfTrue="1" operator="lessThan">
      <formula>0</formula>
    </cfRule>
  </conditionalFormatting>
  <conditionalFormatting sqref="A46:G46 M46:N50 A47:F49 A50:E51 A53">
    <cfRule type="cellIs" dxfId="11" priority="18" stopIfTrue="1" operator="lessThan">
      <formula>0</formula>
    </cfRule>
  </conditionalFormatting>
  <conditionalFormatting sqref="A12:S39">
    <cfRule type="cellIs" dxfId="10" priority="3" stopIfTrue="1" operator="lessThan">
      <formula>0</formula>
    </cfRule>
  </conditionalFormatting>
  <conditionalFormatting sqref="F50:G50">
    <cfRule type="cellIs" dxfId="9" priority="2" stopIfTrue="1" operator="lessThan">
      <formula>0</formula>
    </cfRule>
  </conditionalFormatting>
  <conditionalFormatting sqref="G46">
    <cfRule type="colorScale" priority="17">
      <colorScale>
        <cfvo type="min"/>
        <cfvo type="percentile" val="50"/>
        <cfvo type="max"/>
        <color rgb="FF5A8AC6"/>
        <color rgb="FFFCFCFF"/>
        <color rgb="FFF8696B"/>
      </colorScale>
    </cfRule>
  </conditionalFormatting>
  <conditionalFormatting sqref="G47">
    <cfRule type="colorScale" priority="15">
      <colorScale>
        <cfvo type="min"/>
        <cfvo type="percentile" val="50"/>
        <cfvo type="max"/>
        <color rgb="FF5A8AC6"/>
        <color rgb="FFFCFCFF"/>
        <color rgb="FFF8696B"/>
      </colorScale>
    </cfRule>
    <cfRule type="cellIs" dxfId="8" priority="16" stopIfTrue="1" operator="lessThan">
      <formula>0</formula>
    </cfRule>
  </conditionalFormatting>
  <conditionalFormatting sqref="G48">
    <cfRule type="colorScale" priority="13">
      <colorScale>
        <cfvo type="min"/>
        <cfvo type="percentile" val="50"/>
        <cfvo type="max"/>
        <color rgb="FF5A8AC6"/>
        <color rgb="FFFCFCFF"/>
        <color rgb="FFF8696B"/>
      </colorScale>
    </cfRule>
    <cfRule type="cellIs" dxfId="7" priority="14" stopIfTrue="1" operator="lessThan">
      <formula>0</formula>
    </cfRule>
  </conditionalFormatting>
  <conditionalFormatting sqref="G49">
    <cfRule type="colorScale" priority="11">
      <colorScale>
        <cfvo type="min"/>
        <cfvo type="percentile" val="50"/>
        <cfvo type="max"/>
        <color rgb="FF5A8AC6"/>
        <color rgb="FFFCFCFF"/>
        <color rgb="FFF8696B"/>
      </colorScale>
    </cfRule>
    <cfRule type="cellIs" dxfId="6" priority="12" stopIfTrue="1" operator="lessThan">
      <formula>0</formula>
    </cfRule>
  </conditionalFormatting>
  <conditionalFormatting sqref="G50">
    <cfRule type="colorScale" priority="1">
      <colorScale>
        <cfvo type="min"/>
        <cfvo type="percentile" val="50"/>
        <cfvo type="max"/>
        <color rgb="FF5A8AC6"/>
        <color rgb="FFFCFCFF"/>
        <color rgb="FFF8696B"/>
      </colorScale>
    </cfRule>
  </conditionalFormatting>
  <conditionalFormatting sqref="L51:N51 A52:N52">
    <cfRule type="cellIs" dxfId="5" priority="19" stopIfTrue="1" operator="lessThan">
      <formula>0</formula>
    </cfRule>
  </conditionalFormatting>
  <printOptions horizontalCentered="1"/>
  <pageMargins left="0.55000000000000004" right="0.55000000000000004" top="1.25" bottom="0.75" header="0.75" footer="0.27"/>
  <pageSetup orientation="landscape" r:id="rId1"/>
  <headerFooter alignWithMargins="0">
    <oddHeader>&amp;RFormula Rate 
&amp;A
Page &amp;P of &amp;N</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1:K59"/>
  <sheetViews>
    <sheetView tabSelected="1" view="pageBreakPreview" zoomScale="60" zoomScaleNormal="70" workbookViewId="0">
      <selection activeCell="F7" sqref="F7"/>
    </sheetView>
  </sheetViews>
  <sheetFormatPr defaultColWidth="9.140625" defaultRowHeight="12.75"/>
  <cols>
    <col min="1" max="1" width="34.28515625" style="847" customWidth="1"/>
    <col min="2" max="2" width="9.140625" style="847"/>
    <col min="3" max="3" width="11.85546875" style="847" customWidth="1"/>
    <col min="4" max="4" width="18.28515625" style="847" customWidth="1"/>
    <col min="5" max="5" width="12.5703125" style="847" customWidth="1"/>
    <col min="6" max="6" width="9.140625" style="847"/>
    <col min="7" max="7" width="12.140625" style="847" customWidth="1"/>
    <col min="8" max="8" width="18.85546875" style="847" customWidth="1"/>
    <col min="9" max="9" width="15.5703125" style="847" bestFit="1" customWidth="1"/>
    <col min="10" max="16384" width="9.140625" style="847"/>
  </cols>
  <sheetData>
    <row r="1" spans="1:11" s="560" customFormat="1" ht="15.75">
      <c r="A1" s="665" t="s">
        <v>114</v>
      </c>
      <c r="G1" s="219"/>
    </row>
    <row r="2" spans="1:11" s="560" customFormat="1" ht="15.75">
      <c r="A2" s="665" t="s">
        <v>114</v>
      </c>
      <c r="G2" s="219"/>
    </row>
    <row r="3" spans="1:11" ht="19.5">
      <c r="A3" s="1333" t="s">
        <v>391</v>
      </c>
      <c r="B3" s="1333"/>
      <c r="C3" s="1333"/>
      <c r="D3" s="1333"/>
      <c r="E3" s="1333"/>
      <c r="F3" s="1333"/>
      <c r="G3" s="1333"/>
      <c r="H3" s="1333"/>
      <c r="I3" s="1333"/>
      <c r="J3" s="1333"/>
      <c r="K3" s="1333"/>
    </row>
    <row r="4" spans="1:11" ht="19.5">
      <c r="A4" s="1333" t="s">
        <v>392</v>
      </c>
      <c r="B4" s="1333"/>
      <c r="C4" s="1333"/>
      <c r="D4" s="1333"/>
      <c r="E4" s="1333"/>
      <c r="F4" s="1333"/>
      <c r="G4" s="1333"/>
      <c r="H4" s="1333"/>
      <c r="I4" s="1333"/>
      <c r="J4" s="1333"/>
      <c r="K4" s="1333"/>
    </row>
    <row r="5" spans="1:11" ht="19.5">
      <c r="A5" s="1333" t="s">
        <v>393</v>
      </c>
      <c r="B5" s="1333"/>
      <c r="C5" s="1333"/>
      <c r="D5" s="1333"/>
      <c r="E5" s="1333"/>
      <c r="F5" s="1333"/>
      <c r="G5" s="1333"/>
      <c r="H5" s="1333"/>
      <c r="I5" s="1333"/>
      <c r="J5" s="1333"/>
      <c r="K5" s="1333"/>
    </row>
    <row r="6" spans="1:11" ht="19.5">
      <c r="A6" s="1333" t="s">
        <v>394</v>
      </c>
      <c r="B6" s="1333"/>
      <c r="C6" s="1333"/>
      <c r="D6" s="1333"/>
      <c r="E6" s="1333"/>
      <c r="F6" s="1333"/>
      <c r="G6" s="1333"/>
      <c r="H6" s="1333"/>
      <c r="I6" s="1333"/>
      <c r="J6" s="1333"/>
      <c r="K6" s="1333"/>
    </row>
    <row r="7" spans="1:11" ht="19.5">
      <c r="A7" s="1333" t="s">
        <v>1088</v>
      </c>
      <c r="B7" s="1333"/>
      <c r="C7" s="1333"/>
      <c r="D7" s="1333"/>
      <c r="E7" s="1333"/>
      <c r="F7" s="1333"/>
      <c r="G7" s="1333"/>
      <c r="H7" s="1333"/>
      <c r="I7" s="1333"/>
      <c r="J7" s="1333"/>
      <c r="K7" s="1333"/>
    </row>
    <row r="8" spans="1:11" ht="19.5">
      <c r="A8" s="1333" t="s">
        <v>395</v>
      </c>
      <c r="B8" s="1333"/>
      <c r="C8" s="1333"/>
      <c r="D8" s="1333"/>
      <c r="E8" s="1333"/>
      <c r="F8" s="1333"/>
      <c r="G8" s="1333"/>
      <c r="H8" s="1333"/>
      <c r="I8" s="1333"/>
      <c r="J8" s="1333"/>
      <c r="K8" s="1333"/>
    </row>
    <row r="9" spans="1:11" ht="19.5">
      <c r="A9" s="1333" t="s">
        <v>768</v>
      </c>
      <c r="B9" s="1333"/>
      <c r="C9" s="1333"/>
      <c r="D9" s="1333"/>
      <c r="E9" s="1333"/>
      <c r="F9" s="1333"/>
      <c r="G9" s="1333"/>
      <c r="H9" s="1333"/>
      <c r="I9" s="1333"/>
      <c r="J9" s="1333"/>
      <c r="K9" s="1333"/>
    </row>
    <row r="10" spans="1:11" ht="19.5">
      <c r="A10" s="1340"/>
      <c r="B10" s="1340"/>
      <c r="C10" s="1340"/>
      <c r="D10" s="1340"/>
      <c r="E10" s="1340"/>
      <c r="F10" s="1340"/>
      <c r="G10" s="1340"/>
      <c r="H10" s="1340"/>
      <c r="I10" s="1340"/>
      <c r="J10" s="1340"/>
      <c r="K10" s="1340"/>
    </row>
    <row r="11" spans="1:11" ht="16.5" thickBot="1">
      <c r="A11" s="848"/>
      <c r="B11" s="848"/>
      <c r="C11" s="1337" t="s">
        <v>769</v>
      </c>
      <c r="D11" s="1337"/>
      <c r="E11" s="1337"/>
      <c r="F11" s="848"/>
      <c r="G11" s="1337" t="s">
        <v>1072</v>
      </c>
      <c r="H11" s="1337"/>
      <c r="I11" s="1337"/>
      <c r="J11" s="848"/>
      <c r="K11" s="849" t="s">
        <v>397</v>
      </c>
    </row>
    <row r="12" spans="1:11" ht="15.75">
      <c r="A12" s="850"/>
      <c r="B12" s="848"/>
      <c r="C12" s="563" t="s">
        <v>121</v>
      </c>
      <c r="D12" s="851"/>
      <c r="E12" s="851"/>
      <c r="F12" s="851"/>
      <c r="G12" s="565" t="s">
        <v>122</v>
      </c>
      <c r="H12" s="566"/>
      <c r="I12" s="566"/>
      <c r="J12" s="566"/>
      <c r="K12" s="566"/>
    </row>
    <row r="13" spans="1:11" ht="15">
      <c r="A13" s="848"/>
      <c r="B13" s="848"/>
      <c r="C13" s="563" t="s">
        <v>114</v>
      </c>
      <c r="D13" s="851"/>
      <c r="E13" s="563" t="s">
        <v>398</v>
      </c>
      <c r="F13" s="851"/>
      <c r="G13" s="565" t="s">
        <v>770</v>
      </c>
      <c r="H13" s="851"/>
      <c r="I13" s="563" t="s">
        <v>398</v>
      </c>
      <c r="J13" s="851"/>
      <c r="K13" s="563" t="s">
        <v>398</v>
      </c>
    </row>
    <row r="14" spans="1:11" ht="15">
      <c r="A14" s="848"/>
      <c r="B14" s="563" t="s">
        <v>399</v>
      </c>
      <c r="C14" s="563" t="s">
        <v>771</v>
      </c>
      <c r="D14" s="563" t="s">
        <v>400</v>
      </c>
      <c r="E14" s="563" t="s">
        <v>401</v>
      </c>
      <c r="F14" s="851"/>
      <c r="G14" s="565" t="s">
        <v>402</v>
      </c>
      <c r="H14" s="563" t="s">
        <v>400</v>
      </c>
      <c r="I14" s="563" t="s">
        <v>401</v>
      </c>
      <c r="J14" s="851"/>
      <c r="K14" s="563" t="s">
        <v>401</v>
      </c>
    </row>
    <row r="15" spans="1:11" ht="15">
      <c r="A15" s="563"/>
      <c r="B15" s="563" t="s">
        <v>403</v>
      </c>
      <c r="C15" s="563" t="s">
        <v>404</v>
      </c>
      <c r="D15" s="563" t="s">
        <v>772</v>
      </c>
      <c r="E15" s="563" t="s">
        <v>405</v>
      </c>
      <c r="F15" s="851"/>
      <c r="G15" s="565" t="s">
        <v>404</v>
      </c>
      <c r="H15" s="563" t="s">
        <v>772</v>
      </c>
      <c r="I15" s="563" t="s">
        <v>405</v>
      </c>
      <c r="J15" s="851"/>
      <c r="K15" s="563" t="s">
        <v>405</v>
      </c>
    </row>
    <row r="16" spans="1:11" ht="15">
      <c r="A16" s="560"/>
      <c r="B16" s="560"/>
      <c r="C16" s="560"/>
      <c r="D16" s="560"/>
      <c r="E16" s="560"/>
      <c r="F16" s="560"/>
      <c r="G16" s="219"/>
      <c r="H16" s="560"/>
      <c r="I16" s="560"/>
      <c r="J16" s="560"/>
      <c r="K16" s="560"/>
    </row>
    <row r="17" spans="1:11" ht="15.75" thickBot="1">
      <c r="A17" s="852"/>
      <c r="B17" s="848"/>
      <c r="C17" s="213"/>
      <c r="D17" s="848"/>
      <c r="E17" s="848"/>
      <c r="F17" s="848"/>
      <c r="G17" s="853"/>
      <c r="H17" s="848"/>
      <c r="I17" s="848"/>
      <c r="J17" s="848"/>
      <c r="K17" s="848"/>
    </row>
    <row r="18" spans="1:11" ht="15">
      <c r="A18" s="570" t="s">
        <v>406</v>
      </c>
      <c r="B18" s="854"/>
      <c r="C18" s="214"/>
      <c r="D18" s="215"/>
      <c r="E18" s="216"/>
      <c r="F18" s="854"/>
      <c r="G18" s="216"/>
      <c r="H18" s="217"/>
      <c r="I18" s="216"/>
      <c r="J18" s="854"/>
      <c r="K18" s="216"/>
    </row>
    <row r="19" spans="1:11" ht="15">
      <c r="A19" s="560" t="s">
        <v>773</v>
      </c>
      <c r="B19" s="218">
        <v>350.1</v>
      </c>
      <c r="C19" s="219">
        <v>1.66E-2</v>
      </c>
      <c r="D19" s="220">
        <v>0.66233529999999996</v>
      </c>
      <c r="E19" s="219">
        <f t="shared" ref="E19:E27" si="0">ROUND((C19*D19),6)</f>
        <v>1.0995E-2</v>
      </c>
      <c r="F19" s="848"/>
      <c r="G19" s="219">
        <v>1.6199999999999999E-2</v>
      </c>
      <c r="H19" s="220">
        <v>0.33766470000000004</v>
      </c>
      <c r="I19" s="219">
        <f t="shared" ref="I19:I27" si="1">ROUND((G19*H19),6)</f>
        <v>5.47E-3</v>
      </c>
      <c r="J19" s="848"/>
      <c r="K19" s="213">
        <f>ROUND(E19+I19,4)</f>
        <v>1.6500000000000001E-2</v>
      </c>
    </row>
    <row r="20" spans="1:11" ht="15">
      <c r="A20" s="560" t="s">
        <v>407</v>
      </c>
      <c r="B20" s="218">
        <v>352</v>
      </c>
      <c r="C20" s="219">
        <v>1.77E-2</v>
      </c>
      <c r="D20" s="220">
        <v>0.66233529999999996</v>
      </c>
      <c r="E20" s="219">
        <f t="shared" si="0"/>
        <v>1.1723000000000001E-2</v>
      </c>
      <c r="F20" s="848"/>
      <c r="G20" s="219">
        <v>1.7399999999999999E-2</v>
      </c>
      <c r="H20" s="220">
        <v>0.33766470000000004</v>
      </c>
      <c r="I20" s="219">
        <f t="shared" si="1"/>
        <v>5.875E-3</v>
      </c>
      <c r="J20" s="848"/>
      <c r="K20" s="213">
        <f t="shared" ref="K20:K27" si="2">ROUND(E20+I20,4)</f>
        <v>1.7600000000000001E-2</v>
      </c>
    </row>
    <row r="21" spans="1:11" ht="15">
      <c r="A21" s="560" t="s">
        <v>408</v>
      </c>
      <c r="B21" s="218">
        <v>353</v>
      </c>
      <c r="C21" s="219">
        <v>2.4299999999999999E-2</v>
      </c>
      <c r="D21" s="220">
        <v>0.66233529999999996</v>
      </c>
      <c r="E21" s="219">
        <f t="shared" si="0"/>
        <v>1.6095000000000002E-2</v>
      </c>
      <c r="F21" s="848"/>
      <c r="G21" s="219">
        <v>2.41E-2</v>
      </c>
      <c r="H21" s="220">
        <v>0.33766470000000004</v>
      </c>
      <c r="I21" s="219">
        <f t="shared" si="1"/>
        <v>8.1379999999999994E-3</v>
      </c>
      <c r="J21" s="848"/>
      <c r="K21" s="213">
        <f t="shared" si="2"/>
        <v>2.4199999999999999E-2</v>
      </c>
    </row>
    <row r="22" spans="1:11" ht="15">
      <c r="A22" s="560" t="s">
        <v>409</v>
      </c>
      <c r="B22" s="218">
        <v>354</v>
      </c>
      <c r="C22" s="219">
        <v>2.5700000000000001E-2</v>
      </c>
      <c r="D22" s="220">
        <v>0.66233529999999996</v>
      </c>
      <c r="E22" s="219">
        <f t="shared" si="0"/>
        <v>1.7021999999999999E-2</v>
      </c>
      <c r="F22" s="848"/>
      <c r="G22" s="219">
        <v>2.4500000000000001E-2</v>
      </c>
      <c r="H22" s="220">
        <v>0.33766470000000004</v>
      </c>
      <c r="I22" s="219">
        <f t="shared" si="1"/>
        <v>8.2730000000000008E-3</v>
      </c>
      <c r="J22" s="848"/>
      <c r="K22" s="213">
        <f t="shared" si="2"/>
        <v>2.53E-2</v>
      </c>
    </row>
    <row r="23" spans="1:11" ht="15">
      <c r="A23" s="560" t="s">
        <v>410</v>
      </c>
      <c r="B23" s="218">
        <v>355</v>
      </c>
      <c r="C23" s="219">
        <v>3.1899999999999998E-2</v>
      </c>
      <c r="D23" s="220">
        <v>0.66233529999999996</v>
      </c>
      <c r="E23" s="219">
        <f t="shared" si="0"/>
        <v>2.1128000000000001E-2</v>
      </c>
      <c r="F23" s="848"/>
      <c r="G23" s="219">
        <v>3.1699999999999999E-2</v>
      </c>
      <c r="H23" s="220">
        <v>0.33766470000000004</v>
      </c>
      <c r="I23" s="219">
        <f t="shared" si="1"/>
        <v>1.0704E-2</v>
      </c>
      <c r="J23" s="848"/>
      <c r="K23" s="213">
        <f t="shared" si="2"/>
        <v>3.1800000000000002E-2</v>
      </c>
    </row>
    <row r="24" spans="1:11" ht="15">
      <c r="A24" s="560" t="s">
        <v>774</v>
      </c>
      <c r="B24" s="218">
        <v>356</v>
      </c>
      <c r="C24" s="219">
        <v>2.35E-2</v>
      </c>
      <c r="D24" s="220">
        <v>0.66233529999999996</v>
      </c>
      <c r="E24" s="219">
        <f t="shared" si="0"/>
        <v>1.5565000000000001E-2</v>
      </c>
      <c r="F24" s="848"/>
      <c r="G24" s="219">
        <v>2.2800000000000001E-2</v>
      </c>
      <c r="H24" s="220">
        <v>0.33766470000000004</v>
      </c>
      <c r="I24" s="219">
        <f t="shared" si="1"/>
        <v>7.6990000000000001E-3</v>
      </c>
      <c r="J24" s="848"/>
      <c r="K24" s="213">
        <f t="shared" si="2"/>
        <v>2.3300000000000001E-2</v>
      </c>
    </row>
    <row r="25" spans="1:11" ht="15">
      <c r="A25" s="560" t="s">
        <v>411</v>
      </c>
      <c r="B25" s="218">
        <v>357</v>
      </c>
      <c r="C25" s="219">
        <v>2.3E-2</v>
      </c>
      <c r="D25" s="220">
        <v>0.66233529999999996</v>
      </c>
      <c r="E25" s="219">
        <f t="shared" si="0"/>
        <v>1.5233999999999999E-2</v>
      </c>
      <c r="F25" s="848"/>
      <c r="G25" s="219">
        <v>2.2100000000000002E-2</v>
      </c>
      <c r="H25" s="220">
        <v>0.33766470000000004</v>
      </c>
      <c r="I25" s="219">
        <f t="shared" si="1"/>
        <v>7.4619999999999999E-3</v>
      </c>
      <c r="J25" s="848"/>
      <c r="K25" s="213">
        <f t="shared" si="2"/>
        <v>2.2700000000000001E-2</v>
      </c>
    </row>
    <row r="26" spans="1:11" ht="15">
      <c r="A26" s="560" t="s">
        <v>412</v>
      </c>
      <c r="B26" s="218">
        <v>358</v>
      </c>
      <c r="C26" s="219">
        <v>1.9300000000000001E-2</v>
      </c>
      <c r="D26" s="220">
        <v>0.66233529999999996</v>
      </c>
      <c r="E26" s="219">
        <f t="shared" si="0"/>
        <v>1.2782999999999999E-2</v>
      </c>
      <c r="F26" s="848"/>
      <c r="G26" s="219">
        <v>1.9E-2</v>
      </c>
      <c r="H26" s="220">
        <v>0.33766470000000004</v>
      </c>
      <c r="I26" s="219">
        <f t="shared" si="1"/>
        <v>6.4159999999999998E-3</v>
      </c>
      <c r="J26" s="848"/>
      <c r="K26" s="213">
        <f t="shared" si="2"/>
        <v>1.9199999999999998E-2</v>
      </c>
    </row>
    <row r="27" spans="1:11" ht="15">
      <c r="A27" s="560" t="s">
        <v>775</v>
      </c>
      <c r="B27" s="218">
        <v>359</v>
      </c>
      <c r="C27" s="219">
        <v>1.61E-2</v>
      </c>
      <c r="D27" s="220">
        <v>0.66233529999999996</v>
      </c>
      <c r="E27" s="219">
        <f t="shared" si="0"/>
        <v>1.0664E-2</v>
      </c>
      <c r="F27" s="848"/>
      <c r="G27" s="219">
        <v>1.5900000000000001E-2</v>
      </c>
      <c r="H27" s="220">
        <v>0.33766470000000004</v>
      </c>
      <c r="I27" s="219">
        <f t="shared" si="1"/>
        <v>5.3689999999999996E-3</v>
      </c>
      <c r="J27" s="848"/>
      <c r="K27" s="213">
        <f t="shared" si="2"/>
        <v>1.6E-2</v>
      </c>
    </row>
    <row r="28" spans="1:11" ht="15">
      <c r="A28" s="560"/>
      <c r="B28" s="560"/>
      <c r="C28" s="560"/>
      <c r="D28" s="560"/>
      <c r="E28" s="560"/>
      <c r="F28" s="560"/>
      <c r="G28" s="560"/>
      <c r="H28" s="560"/>
      <c r="I28" s="560"/>
      <c r="J28" s="560"/>
      <c r="K28" s="560"/>
    </row>
    <row r="29" spans="1:11" ht="15.75" thickBot="1">
      <c r="A29" s="560"/>
      <c r="B29" s="560"/>
      <c r="C29" s="560"/>
      <c r="D29" s="560"/>
      <c r="E29" s="560"/>
      <c r="F29" s="560"/>
      <c r="G29" s="560"/>
      <c r="H29" s="560"/>
      <c r="I29" s="560"/>
      <c r="J29" s="560"/>
      <c r="K29" s="560"/>
    </row>
    <row r="30" spans="1:11" ht="15">
      <c r="A30" s="1026" t="s">
        <v>982</v>
      </c>
      <c r="B30" s="1027"/>
      <c r="C30" s="1093"/>
      <c r="D30" s="1029"/>
      <c r="E30" s="1030"/>
      <c r="F30" s="1027"/>
      <c r="G30" s="1031"/>
      <c r="H30" s="1029"/>
      <c r="I30" s="1030"/>
      <c r="J30" s="1027"/>
      <c r="K30" s="560"/>
    </row>
    <row r="31" spans="1:11" ht="15">
      <c r="A31" s="1094"/>
      <c r="B31" s="218">
        <v>390</v>
      </c>
      <c r="C31" s="219">
        <v>2.0799999999999999E-2</v>
      </c>
      <c r="D31" s="220">
        <v>0.68186831634107659</v>
      </c>
      <c r="E31" s="219">
        <f t="shared" ref="E31:E39" si="3">ROUND((C31*D31),6)</f>
        <v>1.4182999999999999E-2</v>
      </c>
      <c r="F31" s="848"/>
      <c r="G31" s="219">
        <v>2.0799999999999999E-2</v>
      </c>
      <c r="H31" s="220">
        <v>0.31813168365892341</v>
      </c>
      <c r="I31" s="219">
        <f t="shared" ref="I31:I39" si="4">ROUND((G31*H31),6)</f>
        <v>6.6169999999999996E-3</v>
      </c>
      <c r="J31" s="1095"/>
      <c r="K31" s="213">
        <f t="shared" ref="K31:K39" si="5">ROUND(E31+I31,4)</f>
        <v>2.0799999999999999E-2</v>
      </c>
    </row>
    <row r="32" spans="1:11" ht="15">
      <c r="A32" s="1094"/>
      <c r="B32" s="218">
        <v>391</v>
      </c>
      <c r="C32" s="219">
        <v>4.7899999999999998E-2</v>
      </c>
      <c r="D32" s="220">
        <v>0.68186831634107659</v>
      </c>
      <c r="E32" s="219">
        <f t="shared" si="3"/>
        <v>3.2661000000000003E-2</v>
      </c>
      <c r="F32" s="848"/>
      <c r="G32" s="219">
        <v>4.8399999999999999E-2</v>
      </c>
      <c r="H32" s="220">
        <v>0.31813168365892341</v>
      </c>
      <c r="I32" s="219">
        <f t="shared" si="4"/>
        <v>1.5398E-2</v>
      </c>
      <c r="J32" s="1095"/>
      <c r="K32" s="213">
        <f t="shared" si="5"/>
        <v>4.8099999999999997E-2</v>
      </c>
    </row>
    <row r="33" spans="1:11" ht="15">
      <c r="A33" s="1096" t="s">
        <v>1073</v>
      </c>
      <c r="B33" s="218">
        <v>392</v>
      </c>
      <c r="C33" s="219">
        <v>4.6399999999999997E-2</v>
      </c>
      <c r="D33" s="220">
        <v>0.68186831634107659</v>
      </c>
      <c r="E33" s="219">
        <f t="shared" si="3"/>
        <v>3.1639E-2</v>
      </c>
      <c r="F33" s="848"/>
      <c r="G33" s="219">
        <v>4.6800000000000001E-2</v>
      </c>
      <c r="H33" s="220">
        <v>0.31813168365892341</v>
      </c>
      <c r="I33" s="219">
        <f t="shared" si="4"/>
        <v>1.4888999999999999E-2</v>
      </c>
      <c r="J33" s="1095"/>
      <c r="K33" s="213">
        <f t="shared" si="5"/>
        <v>4.65E-2</v>
      </c>
    </row>
    <row r="34" spans="1:11" ht="15">
      <c r="A34" s="1094"/>
      <c r="B34" s="218">
        <v>393</v>
      </c>
      <c r="C34" s="219">
        <v>7.3499999999999996E-2</v>
      </c>
      <c r="D34" s="220">
        <v>0.68186831634107659</v>
      </c>
      <c r="E34" s="219">
        <f t="shared" si="3"/>
        <v>5.0117000000000002E-2</v>
      </c>
      <c r="F34" s="848"/>
      <c r="G34" s="219">
        <v>7.3800000000000004E-2</v>
      </c>
      <c r="H34" s="220">
        <v>0.31813168365892341</v>
      </c>
      <c r="I34" s="219">
        <f t="shared" si="4"/>
        <v>2.3477999999999999E-2</v>
      </c>
      <c r="J34" s="1095"/>
      <c r="K34" s="213">
        <f t="shared" si="5"/>
        <v>7.3599999999999999E-2</v>
      </c>
    </row>
    <row r="35" spans="1:11" ht="15">
      <c r="A35" s="1094"/>
      <c r="B35" s="218">
        <v>394</v>
      </c>
      <c r="C35" s="219">
        <v>6.9900000000000004E-2</v>
      </c>
      <c r="D35" s="220">
        <v>0.68186831634107659</v>
      </c>
      <c r="E35" s="219">
        <f t="shared" si="3"/>
        <v>4.7662999999999997E-2</v>
      </c>
      <c r="F35" s="848"/>
      <c r="G35" s="219">
        <v>7.0699999999999999E-2</v>
      </c>
      <c r="H35" s="220">
        <v>0.31813168365892341</v>
      </c>
      <c r="I35" s="219">
        <f t="shared" si="4"/>
        <v>2.2492000000000002E-2</v>
      </c>
      <c r="J35" s="1095"/>
      <c r="K35" s="213">
        <f t="shared" si="5"/>
        <v>7.0199999999999999E-2</v>
      </c>
    </row>
    <row r="36" spans="1:11" ht="15">
      <c r="A36" s="1094"/>
      <c r="B36" s="218">
        <v>395</v>
      </c>
      <c r="C36" s="219">
        <v>5.4100000000000002E-2</v>
      </c>
      <c r="D36" s="220">
        <v>0.68186831634107659</v>
      </c>
      <c r="E36" s="219">
        <f t="shared" si="3"/>
        <v>3.6888999999999998E-2</v>
      </c>
      <c r="F36" s="848"/>
      <c r="G36" s="219">
        <v>5.4600000000000003E-2</v>
      </c>
      <c r="H36" s="220">
        <v>0.31813168365892341</v>
      </c>
      <c r="I36" s="219">
        <f t="shared" si="4"/>
        <v>1.737E-2</v>
      </c>
      <c r="J36" s="1095"/>
      <c r="K36" s="213">
        <f t="shared" si="5"/>
        <v>5.4300000000000001E-2</v>
      </c>
    </row>
    <row r="37" spans="1:11" ht="15">
      <c r="A37" s="1094"/>
      <c r="B37" s="218">
        <v>396</v>
      </c>
      <c r="C37" s="219">
        <v>4.8099999999999997E-2</v>
      </c>
      <c r="D37" s="220">
        <v>0.68186831634107659</v>
      </c>
      <c r="E37" s="219">
        <f t="shared" si="3"/>
        <v>3.2798000000000001E-2</v>
      </c>
      <c r="F37" s="848"/>
      <c r="G37" s="219">
        <v>4.9000000000000002E-2</v>
      </c>
      <c r="H37" s="220">
        <v>0.31813168365892341</v>
      </c>
      <c r="I37" s="219">
        <f t="shared" si="4"/>
        <v>1.5587999999999999E-2</v>
      </c>
      <c r="J37" s="1095"/>
      <c r="K37" s="213">
        <f t="shared" si="5"/>
        <v>4.8399999999999999E-2</v>
      </c>
    </row>
    <row r="38" spans="1:11" ht="15">
      <c r="A38" s="1094"/>
      <c r="B38" s="218">
        <v>397</v>
      </c>
      <c r="C38" s="219">
        <v>3.9100000000000003E-2</v>
      </c>
      <c r="D38" s="220">
        <v>0.68186831634107659</v>
      </c>
      <c r="E38" s="219">
        <f t="shared" si="3"/>
        <v>2.6661000000000001E-2</v>
      </c>
      <c r="F38" s="848"/>
      <c r="G38" s="219">
        <v>3.9300000000000002E-2</v>
      </c>
      <c r="H38" s="220">
        <v>0.31813168365892341</v>
      </c>
      <c r="I38" s="219">
        <f t="shared" si="4"/>
        <v>1.2503E-2</v>
      </c>
      <c r="J38" s="1095"/>
      <c r="K38" s="213">
        <f t="shared" si="5"/>
        <v>3.9199999999999999E-2</v>
      </c>
    </row>
    <row r="39" spans="1:11" ht="15">
      <c r="A39" s="1094"/>
      <c r="B39" s="218">
        <v>398</v>
      </c>
      <c r="C39" s="219">
        <v>3.32E-2</v>
      </c>
      <c r="D39" s="220">
        <v>0.68186831634107659</v>
      </c>
      <c r="E39" s="219">
        <f t="shared" si="3"/>
        <v>2.2637999999999998E-2</v>
      </c>
      <c r="F39" s="848"/>
      <c r="G39" s="219">
        <v>3.3500000000000002E-2</v>
      </c>
      <c r="H39" s="220">
        <v>0.31813168365892341</v>
      </c>
      <c r="I39" s="219">
        <f t="shared" si="4"/>
        <v>1.0657E-2</v>
      </c>
      <c r="J39" s="1095"/>
      <c r="K39" s="213">
        <f t="shared" si="5"/>
        <v>3.3300000000000003E-2</v>
      </c>
    </row>
    <row r="40" spans="1:11" ht="15.75" thickBot="1">
      <c r="A40" s="1032"/>
      <c r="B40" s="1033"/>
      <c r="C40" s="1034"/>
      <c r="D40" s="1035"/>
      <c r="E40" s="1036"/>
      <c r="F40" s="1033"/>
      <c r="G40" s="1036"/>
      <c r="H40" s="1035"/>
      <c r="I40" s="1036"/>
      <c r="J40" s="1033"/>
      <c r="K40" s="560"/>
    </row>
    <row r="41" spans="1:11" ht="15">
      <c r="A41" s="560"/>
      <c r="B41" s="560"/>
      <c r="C41" s="560"/>
      <c r="D41" s="560"/>
      <c r="E41" s="560"/>
      <c r="F41" s="560"/>
      <c r="G41" s="560"/>
      <c r="H41" s="560"/>
      <c r="I41" s="560"/>
      <c r="J41" s="560"/>
      <c r="K41" s="560"/>
    </row>
    <row r="42" spans="1:11" ht="15">
      <c r="A42" s="560"/>
      <c r="B42" s="560"/>
      <c r="C42" s="560"/>
      <c r="D42" s="560"/>
      <c r="E42" s="560"/>
      <c r="F42" s="560"/>
      <c r="G42" s="560"/>
      <c r="H42" s="560"/>
      <c r="I42" s="560"/>
      <c r="J42" s="560"/>
      <c r="K42" s="560"/>
    </row>
    <row r="43" spans="1:11" ht="15">
      <c r="A43" s="560"/>
      <c r="B43" s="848"/>
      <c r="C43" s="213"/>
      <c r="D43" s="560"/>
      <c r="E43" s="560"/>
      <c r="F43" s="560"/>
      <c r="G43" s="219"/>
      <c r="H43" s="560"/>
      <c r="I43" s="560"/>
      <c r="J43" s="560"/>
      <c r="K43" s="560"/>
    </row>
    <row r="44" spans="1:11" ht="15.75">
      <c r="A44" s="850" t="s">
        <v>1085</v>
      </c>
      <c r="B44" s="855"/>
      <c r="C44" s="221"/>
      <c r="D44" s="855"/>
      <c r="E44" s="560"/>
      <c r="F44" s="855"/>
      <c r="G44" s="560"/>
      <c r="H44" s="848"/>
      <c r="I44" s="560"/>
      <c r="J44" s="560"/>
      <c r="K44" s="560"/>
    </row>
    <row r="45" spans="1:11" ht="15.75">
      <c r="A45" s="850" t="s">
        <v>1086</v>
      </c>
      <c r="B45" s="855"/>
      <c r="C45" s="221"/>
      <c r="D45" s="855"/>
      <c r="E45" s="855"/>
      <c r="F45" s="855"/>
      <c r="G45" s="560"/>
      <c r="H45" s="848"/>
      <c r="I45" s="560"/>
      <c r="J45" s="560"/>
      <c r="K45" s="560"/>
    </row>
    <row r="46" spans="1:11" ht="15.75">
      <c r="A46" s="850" t="s">
        <v>1087</v>
      </c>
      <c r="B46" s="855"/>
      <c r="C46" s="221"/>
      <c r="D46" s="856"/>
      <c r="E46" s="856"/>
      <c r="F46" s="856"/>
      <c r="G46" s="560"/>
      <c r="H46" s="560"/>
      <c r="I46" s="560"/>
      <c r="J46" s="560"/>
      <c r="K46" s="560"/>
    </row>
    <row r="47" spans="1:11" ht="15">
      <c r="A47" s="1341" t="s">
        <v>776</v>
      </c>
      <c r="B47" s="1342"/>
      <c r="C47" s="1342"/>
      <c r="D47" s="1342"/>
      <c r="E47" s="1342"/>
      <c r="F47" s="1342"/>
      <c r="G47" s="1342"/>
      <c r="H47" s="1342"/>
      <c r="I47" s="1342"/>
      <c r="J47" s="1342"/>
      <c r="K47" s="560"/>
    </row>
    <row r="48" spans="1:11" ht="15">
      <c r="A48" s="1342"/>
      <c r="B48" s="1342"/>
      <c r="C48" s="1342"/>
      <c r="D48" s="1342"/>
      <c r="E48" s="1342"/>
      <c r="F48" s="1342"/>
      <c r="G48" s="1342"/>
      <c r="H48" s="1342"/>
      <c r="I48" s="1342"/>
      <c r="J48" s="1342"/>
      <c r="K48" s="560"/>
    </row>
    <row r="49" spans="1:11" ht="18.75" customHeight="1">
      <c r="A49" s="1342"/>
      <c r="B49" s="1342"/>
      <c r="C49" s="1342"/>
      <c r="D49" s="1342"/>
      <c r="E49" s="1342"/>
      <c r="F49" s="1342"/>
      <c r="G49" s="1342"/>
      <c r="H49" s="1342"/>
      <c r="I49" s="1342"/>
      <c r="J49" s="1342"/>
      <c r="K49" s="560"/>
    </row>
    <row r="50" spans="1:11" ht="15.75">
      <c r="A50" s="560"/>
      <c r="B50" s="855"/>
      <c r="C50" s="221"/>
      <c r="D50" s="856"/>
      <c r="E50" s="856"/>
      <c r="F50" s="856"/>
      <c r="G50" s="219"/>
      <c r="H50" s="560"/>
      <c r="I50" s="560"/>
      <c r="J50" s="560"/>
      <c r="K50" s="560"/>
    </row>
    <row r="51" spans="1:11" ht="15.75">
      <c r="A51" s="857" t="s">
        <v>413</v>
      </c>
      <c r="B51" s="848"/>
      <c r="C51" s="213"/>
      <c r="D51" s="560"/>
      <c r="E51" s="560"/>
      <c r="F51" s="560"/>
      <c r="G51" s="219"/>
      <c r="H51" s="560"/>
      <c r="I51" s="560"/>
      <c r="J51" s="560"/>
      <c r="K51" s="560"/>
    </row>
    <row r="52" spans="1:11" ht="15">
      <c r="A52" s="858" t="s">
        <v>29</v>
      </c>
      <c r="B52" s="859"/>
      <c r="C52" s="859"/>
      <c r="D52" s="860"/>
      <c r="E52" s="560"/>
      <c r="F52" s="560"/>
      <c r="G52" s="219"/>
      <c r="H52" s="560"/>
      <c r="I52" s="560"/>
      <c r="J52" s="560"/>
      <c r="K52" s="560"/>
    </row>
    <row r="53" spans="1:11" ht="15">
      <c r="A53" s="1338" t="s">
        <v>777</v>
      </c>
      <c r="B53" s="1338"/>
      <c r="C53" s="1338"/>
      <c r="D53" s="1338"/>
      <c r="E53" s="1338"/>
      <c r="F53" s="1338"/>
      <c r="G53" s="1338"/>
      <c r="H53" s="1338"/>
      <c r="I53" s="1338"/>
      <c r="J53" s="1338"/>
      <c r="K53" s="560"/>
    </row>
    <row r="54" spans="1:11" ht="15">
      <c r="A54" s="1338"/>
      <c r="B54" s="1338"/>
      <c r="C54" s="1338"/>
      <c r="D54" s="1338"/>
      <c r="E54" s="1338"/>
      <c r="F54" s="1338"/>
      <c r="G54" s="1338"/>
      <c r="H54" s="1338"/>
      <c r="I54" s="1338"/>
      <c r="J54" s="1338"/>
      <c r="K54" s="560"/>
    </row>
    <row r="55" spans="1:11" ht="15">
      <c r="A55" s="1339" t="s">
        <v>821</v>
      </c>
      <c r="B55" s="1339"/>
      <c r="C55" s="1339"/>
      <c r="D55" s="1339"/>
      <c r="E55" s="1339"/>
      <c r="F55" s="1339"/>
      <c r="G55" s="1339"/>
      <c r="H55" s="1339"/>
      <c r="I55" s="1339"/>
      <c r="J55" s="1339"/>
      <c r="K55" s="560"/>
    </row>
    <row r="56" spans="1:11" ht="15">
      <c r="A56" s="1339"/>
      <c r="B56" s="1339"/>
      <c r="C56" s="1339"/>
      <c r="D56" s="1339"/>
      <c r="E56" s="1339"/>
      <c r="F56" s="1339"/>
      <c r="G56" s="1339"/>
      <c r="H56" s="1339"/>
      <c r="I56" s="1339"/>
      <c r="J56" s="1339"/>
      <c r="K56" s="560"/>
    </row>
    <row r="57" spans="1:11" ht="15">
      <c r="A57" s="560"/>
      <c r="B57" s="560"/>
      <c r="C57" s="560"/>
      <c r="D57" s="560"/>
      <c r="E57" s="560"/>
      <c r="F57" s="560"/>
      <c r="G57" s="219"/>
      <c r="H57" s="560"/>
      <c r="I57" s="560"/>
      <c r="J57" s="560"/>
      <c r="K57" s="560"/>
    </row>
    <row r="58" spans="1:11" ht="15">
      <c r="A58" s="560"/>
      <c r="B58" s="560"/>
      <c r="C58" s="560"/>
      <c r="D58" s="560"/>
      <c r="E58" s="560"/>
      <c r="F58" s="560"/>
      <c r="G58" s="219"/>
      <c r="H58" s="560"/>
      <c r="I58" s="560"/>
      <c r="J58" s="560"/>
      <c r="K58" s="560"/>
    </row>
    <row r="59" spans="1:11" ht="15">
      <c r="A59" s="560"/>
      <c r="B59" s="560"/>
      <c r="C59" s="560"/>
      <c r="D59" s="560"/>
      <c r="E59" s="560"/>
      <c r="F59" s="560"/>
      <c r="G59" s="219"/>
      <c r="H59" s="560"/>
      <c r="I59" s="560"/>
      <c r="J59" s="560"/>
      <c r="K59" s="560"/>
    </row>
  </sheetData>
  <mergeCells count="13">
    <mergeCell ref="A53:J54"/>
    <mergeCell ref="A55:J56"/>
    <mergeCell ref="A9:K9"/>
    <mergeCell ref="A10:K10"/>
    <mergeCell ref="C11:E11"/>
    <mergeCell ref="G11:I11"/>
    <mergeCell ref="A47:J49"/>
    <mergeCell ref="A8:K8"/>
    <mergeCell ref="A3:K3"/>
    <mergeCell ref="A4:K4"/>
    <mergeCell ref="A5:K5"/>
    <mergeCell ref="A6:K6"/>
    <mergeCell ref="A7:K7"/>
  </mergeCells>
  <conditionalFormatting sqref="A3 A4:K9 A10 A51:J52 A53">
    <cfRule type="cellIs" dxfId="4" priority="1" stopIfTrue="1" operator="lessThan">
      <formula>0</formula>
    </cfRule>
  </conditionalFormatting>
  <pageMargins left="0.7" right="0.7" top="0.75" bottom="0.75" header="0.3" footer="0.3"/>
  <pageSetup scale="42"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1:G49"/>
  <sheetViews>
    <sheetView tabSelected="1" view="pageBreakPreview" zoomScale="60" zoomScaleNormal="70" workbookViewId="0">
      <selection activeCell="F7" sqref="F7"/>
    </sheetView>
  </sheetViews>
  <sheetFormatPr defaultColWidth="9.140625" defaultRowHeight="12.75"/>
  <cols>
    <col min="1" max="1" width="33.5703125" style="847" customWidth="1"/>
    <col min="2" max="2" width="17.140625" style="847" customWidth="1"/>
    <col min="3" max="3" width="23.42578125" style="847" customWidth="1"/>
    <col min="4" max="4" width="9.140625" style="847"/>
    <col min="5" max="5" width="21.85546875" style="847" customWidth="1"/>
    <col min="6" max="16384" width="9.140625" style="847"/>
  </cols>
  <sheetData>
    <row r="1" spans="1:7" s="560" customFormat="1" ht="15.75">
      <c r="A1" s="665" t="s">
        <v>114</v>
      </c>
      <c r="G1" s="219"/>
    </row>
    <row r="2" spans="1:7" s="560" customFormat="1" ht="15.75">
      <c r="A2" s="665" t="s">
        <v>114</v>
      </c>
      <c r="G2" s="219"/>
    </row>
    <row r="3" spans="1:7" ht="19.5">
      <c r="A3" s="560"/>
      <c r="B3" s="1344" t="s">
        <v>391</v>
      </c>
      <c r="C3" s="1344"/>
      <c r="D3" s="1344"/>
      <c r="E3" s="1344"/>
    </row>
    <row r="4" spans="1:7" ht="19.5">
      <c r="A4" s="560"/>
      <c r="B4" s="1344" t="s">
        <v>778</v>
      </c>
      <c r="C4" s="1344"/>
      <c r="D4" s="1344"/>
      <c r="E4" s="1344"/>
    </row>
    <row r="5" spans="1:7" ht="19.5">
      <c r="A5" s="560"/>
      <c r="B5" s="1344" t="s">
        <v>779</v>
      </c>
      <c r="C5" s="1344"/>
      <c r="D5" s="1344"/>
      <c r="E5" s="1344"/>
    </row>
    <row r="6" spans="1:7" ht="19.5">
      <c r="A6" s="560"/>
      <c r="B6" s="1344" t="s">
        <v>780</v>
      </c>
      <c r="C6" s="1344"/>
      <c r="D6" s="1344"/>
      <c r="E6" s="1344"/>
    </row>
    <row r="7" spans="1:7" ht="19.5">
      <c r="A7" s="560"/>
      <c r="B7" s="1344" t="s">
        <v>781</v>
      </c>
      <c r="C7" s="1344"/>
      <c r="D7" s="1344"/>
      <c r="E7" s="1344"/>
    </row>
    <row r="8" spans="1:7" ht="19.5">
      <c r="A8" s="560"/>
      <c r="B8" s="1344" t="s">
        <v>782</v>
      </c>
      <c r="C8" s="1344"/>
      <c r="D8" s="1344"/>
      <c r="E8" s="1344"/>
    </row>
    <row r="9" spans="1:7" ht="15">
      <c r="A9" s="560"/>
      <c r="B9" s="848"/>
      <c r="C9" s="848"/>
      <c r="D9" s="563" t="s">
        <v>114</v>
      </c>
      <c r="E9" s="560"/>
    </row>
    <row r="10" spans="1:7" ht="15.75">
      <c r="A10" s="848"/>
      <c r="B10" s="861" t="s">
        <v>399</v>
      </c>
      <c r="C10" s="560"/>
      <c r="D10" s="560"/>
      <c r="E10" s="862"/>
    </row>
    <row r="11" spans="1:7" ht="15.75">
      <c r="A11" s="563"/>
      <c r="B11" s="861" t="s">
        <v>403</v>
      </c>
      <c r="C11" s="861" t="s">
        <v>404</v>
      </c>
      <c r="D11" s="861"/>
      <c r="E11" s="560"/>
    </row>
    <row r="12" spans="1:7" ht="15.75" thickBot="1">
      <c r="A12" s="852"/>
      <c r="B12" s="848"/>
      <c r="C12" s="863" t="s">
        <v>499</v>
      </c>
      <c r="D12" s="560"/>
      <c r="E12" s="560"/>
    </row>
    <row r="13" spans="1:7" ht="15">
      <c r="A13" s="570" t="s">
        <v>406</v>
      </c>
      <c r="B13" s="854"/>
      <c r="C13" s="214"/>
      <c r="D13" s="560"/>
      <c r="E13" s="560"/>
    </row>
    <row r="14" spans="1:7" ht="15">
      <c r="A14" s="560"/>
      <c r="B14" s="864"/>
      <c r="C14" s="213"/>
      <c r="D14" s="865"/>
      <c r="E14" s="560"/>
    </row>
    <row r="15" spans="1:7" ht="15">
      <c r="A15" s="560" t="s">
        <v>407</v>
      </c>
      <c r="B15" s="218">
        <v>352</v>
      </c>
      <c r="C15" s="213">
        <v>1.04E-2</v>
      </c>
      <c r="D15" s="865"/>
      <c r="E15" s="560"/>
    </row>
    <row r="16" spans="1:7" ht="15">
      <c r="A16" s="560" t="s">
        <v>408</v>
      </c>
      <c r="B16" s="218">
        <v>353</v>
      </c>
      <c r="C16" s="213">
        <v>1.49E-2</v>
      </c>
      <c r="D16" s="865"/>
      <c r="E16" s="560"/>
    </row>
    <row r="17" spans="1:5" ht="15">
      <c r="A17" s="560" t="s">
        <v>409</v>
      </c>
      <c r="B17" s="218">
        <v>354</v>
      </c>
      <c r="C17" s="213">
        <v>1.1999999999999999E-3</v>
      </c>
      <c r="D17" s="865"/>
      <c r="E17" s="560"/>
    </row>
    <row r="18" spans="1:5" ht="15">
      <c r="A18" s="560" t="s">
        <v>410</v>
      </c>
      <c r="B18" s="218">
        <v>355</v>
      </c>
      <c r="C18" s="213">
        <v>2.1399999999999999E-2</v>
      </c>
      <c r="D18" s="865"/>
      <c r="E18" s="560"/>
    </row>
    <row r="19" spans="1:5" ht="15">
      <c r="A19" s="560" t="s">
        <v>774</v>
      </c>
      <c r="B19" s="218">
        <v>356</v>
      </c>
      <c r="C19" s="213">
        <v>7.7000000000000002E-3</v>
      </c>
      <c r="D19" s="865"/>
      <c r="E19" s="560"/>
    </row>
    <row r="20" spans="1:5" ht="15">
      <c r="A20" s="560" t="s">
        <v>411</v>
      </c>
      <c r="B20" s="218">
        <v>357</v>
      </c>
      <c r="C20" s="866" t="s">
        <v>618</v>
      </c>
      <c r="D20" s="560"/>
      <c r="E20" s="560"/>
    </row>
    <row r="21" spans="1:5" ht="15">
      <c r="A21" s="560" t="s">
        <v>412</v>
      </c>
      <c r="B21" s="218">
        <v>358</v>
      </c>
      <c r="C21" s="866" t="s">
        <v>618</v>
      </c>
      <c r="D21" s="865"/>
      <c r="E21" s="560"/>
    </row>
    <row r="22" spans="1:5" ht="15.75">
      <c r="A22" s="850" t="s">
        <v>783</v>
      </c>
      <c r="B22" s="867"/>
      <c r="C22" s="868">
        <v>1.46E-2</v>
      </c>
      <c r="D22" s="865"/>
      <c r="E22" s="560"/>
    </row>
    <row r="23" spans="1:5" ht="15.75">
      <c r="A23" s="850"/>
      <c r="B23" s="867"/>
      <c r="C23" s="868"/>
      <c r="D23" s="865"/>
      <c r="E23" s="560"/>
    </row>
    <row r="24" spans="1:5" customFormat="1" ht="15.75">
      <c r="A24" s="474" t="s">
        <v>805</v>
      </c>
      <c r="C24" s="1"/>
    </row>
    <row r="25" spans="1:5" customFormat="1">
      <c r="C25" s="1"/>
    </row>
    <row r="26" spans="1:5" customFormat="1" ht="15">
      <c r="A26" s="872" t="s">
        <v>806</v>
      </c>
      <c r="B26" s="876">
        <v>390</v>
      </c>
      <c r="C26" s="875">
        <v>1.7100000000000001E-2</v>
      </c>
    </row>
    <row r="27" spans="1:5" customFormat="1" ht="15">
      <c r="A27" s="872" t="s">
        <v>807</v>
      </c>
      <c r="B27" s="876">
        <v>391</v>
      </c>
      <c r="C27" s="875">
        <v>2.8199999999999999E-2</v>
      </c>
    </row>
    <row r="28" spans="1:5" customFormat="1" ht="15">
      <c r="A28" s="872" t="s">
        <v>808</v>
      </c>
      <c r="B28" s="876">
        <v>393</v>
      </c>
      <c r="C28" s="875">
        <v>2.2200000000000001E-2</v>
      </c>
    </row>
    <row r="29" spans="1:5" customFormat="1" ht="15">
      <c r="A29" s="872" t="s">
        <v>809</v>
      </c>
      <c r="B29" s="876">
        <v>394</v>
      </c>
      <c r="C29" s="875">
        <v>3.1199999999999999E-2</v>
      </c>
    </row>
    <row r="30" spans="1:5" customFormat="1" ht="15">
      <c r="A30" s="872" t="s">
        <v>810</v>
      </c>
      <c r="B30" s="876">
        <v>395</v>
      </c>
      <c r="C30" s="875">
        <v>3.1699999999999999E-2</v>
      </c>
    </row>
    <row r="31" spans="1:5" customFormat="1" ht="15">
      <c r="A31" s="872" t="s">
        <v>811</v>
      </c>
      <c r="B31" s="876">
        <v>397</v>
      </c>
      <c r="C31" s="875">
        <v>3.32E-2</v>
      </c>
    </row>
    <row r="32" spans="1:5" customFormat="1" ht="15">
      <c r="A32" s="872" t="s">
        <v>812</v>
      </c>
      <c r="B32" s="876">
        <v>398</v>
      </c>
      <c r="C32" s="875">
        <v>4.9200000000000001E-2</v>
      </c>
    </row>
    <row r="33" spans="1:5" customFormat="1" ht="15">
      <c r="A33" s="28"/>
      <c r="B33" s="872"/>
      <c r="C33" s="875"/>
    </row>
    <row r="34" spans="1:5" customFormat="1" ht="15.75">
      <c r="A34" s="28"/>
      <c r="B34" s="874" t="s">
        <v>813</v>
      </c>
      <c r="C34" s="875">
        <v>3.2500000000000001E-2</v>
      </c>
    </row>
    <row r="35" spans="1:5" customFormat="1" ht="15.75">
      <c r="A35" s="28"/>
      <c r="B35" s="874"/>
      <c r="C35" s="873"/>
    </row>
    <row r="36" spans="1:5" ht="15.75">
      <c r="A36" s="560" t="s">
        <v>784</v>
      </c>
      <c r="B36" s="855"/>
      <c r="C36" s="221"/>
      <c r="D36" s="560"/>
      <c r="E36" s="560"/>
    </row>
    <row r="37" spans="1:5" ht="15">
      <c r="A37" s="1345"/>
      <c r="B37" s="1345"/>
      <c r="C37" s="1345"/>
      <c r="D37" s="1345"/>
      <c r="E37" s="560"/>
    </row>
    <row r="38" spans="1:5" ht="15">
      <c r="A38" s="1345" t="s">
        <v>785</v>
      </c>
      <c r="B38" s="1345"/>
      <c r="C38" s="1345"/>
      <c r="D38" s="1345"/>
      <c r="E38" s="560"/>
    </row>
    <row r="39" spans="1:5" ht="15">
      <c r="A39" s="560" t="s">
        <v>158</v>
      </c>
      <c r="B39" s="560"/>
      <c r="C39" s="560"/>
      <c r="D39" s="560"/>
      <c r="E39" s="560"/>
    </row>
    <row r="40" spans="1:5" ht="15">
      <c r="A40" s="1345" t="s">
        <v>786</v>
      </c>
      <c r="B40" s="1345"/>
      <c r="C40" s="1345"/>
      <c r="D40" s="560"/>
      <c r="E40" s="560"/>
    </row>
    <row r="41" spans="1:5" ht="15">
      <c r="A41" s="1345"/>
      <c r="B41" s="1345"/>
      <c r="C41" s="1345"/>
      <c r="D41" s="560"/>
      <c r="E41" s="560"/>
    </row>
    <row r="42" spans="1:5" ht="15">
      <c r="A42" s="560"/>
      <c r="B42" s="848"/>
      <c r="C42" s="213"/>
      <c r="D42" s="560"/>
      <c r="E42" s="560"/>
    </row>
    <row r="43" spans="1:5" ht="15">
      <c r="A43" s="1345"/>
      <c r="B43" s="1345"/>
      <c r="C43" s="1345"/>
      <c r="D43" s="1345"/>
      <c r="E43" s="560"/>
    </row>
    <row r="44" spans="1:5" ht="15.75">
      <c r="A44" s="857" t="s">
        <v>787</v>
      </c>
      <c r="B44" s="848"/>
      <c r="C44" s="213"/>
      <c r="D44" s="560"/>
      <c r="E44" s="560"/>
    </row>
    <row r="45" spans="1:5" ht="15">
      <c r="A45" s="1343" t="s">
        <v>821</v>
      </c>
      <c r="B45" s="1343"/>
      <c r="C45" s="1343"/>
      <c r="D45" s="862"/>
      <c r="E45" s="560"/>
    </row>
    <row r="46" spans="1:5" ht="15">
      <c r="A46" s="1343"/>
      <c r="B46" s="1343"/>
      <c r="C46" s="1343"/>
      <c r="D46" s="862"/>
      <c r="E46" s="560"/>
    </row>
    <row r="47" spans="1:5" ht="15">
      <c r="A47" s="1343"/>
      <c r="B47" s="1343"/>
      <c r="C47" s="1343"/>
      <c r="D47" s="862"/>
      <c r="E47" s="560"/>
    </row>
    <row r="48" spans="1:5" ht="15">
      <c r="A48" s="1343"/>
      <c r="B48" s="1343"/>
      <c r="C48" s="1343"/>
      <c r="D48" s="862"/>
      <c r="E48" s="560"/>
    </row>
    <row r="49" spans="1:5" ht="15">
      <c r="A49" s="1343"/>
      <c r="B49" s="1343"/>
      <c r="C49" s="1343"/>
      <c r="D49" s="862"/>
      <c r="E49" s="560"/>
    </row>
  </sheetData>
  <mergeCells count="11">
    <mergeCell ref="A45:C49"/>
    <mergeCell ref="B3:E3"/>
    <mergeCell ref="B4:E4"/>
    <mergeCell ref="B5:E5"/>
    <mergeCell ref="B6:E6"/>
    <mergeCell ref="B7:E7"/>
    <mergeCell ref="B8:E8"/>
    <mergeCell ref="A37:D37"/>
    <mergeCell ref="A38:D38"/>
    <mergeCell ref="A40:C41"/>
    <mergeCell ref="A43:D43"/>
  </mergeCells>
  <conditionalFormatting sqref="B3:E4">
    <cfRule type="cellIs" dxfId="3" priority="1" stopIfTrue="1" operator="lessThan">
      <formula>0</formula>
    </cfRule>
  </conditionalFormatting>
  <pageMargins left="0.7" right="0.7" top="0.75" bottom="0.75" header="0.3" footer="0.3"/>
  <pageSetup scale="86"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dimension ref="A1:G33"/>
  <sheetViews>
    <sheetView tabSelected="1" view="pageBreakPreview" zoomScale="60" zoomScaleNormal="70" workbookViewId="0">
      <selection activeCell="F7" sqref="F7"/>
    </sheetView>
  </sheetViews>
  <sheetFormatPr defaultColWidth="9.140625" defaultRowHeight="12.75"/>
  <cols>
    <col min="1" max="1" width="9.140625" style="847"/>
    <col min="2" max="2" width="38.5703125" style="847" customWidth="1"/>
    <col min="3" max="3" width="21.85546875" style="847" customWidth="1"/>
    <col min="4" max="4" width="25.85546875" style="847" customWidth="1"/>
    <col min="5" max="16384" width="9.140625" style="847"/>
  </cols>
  <sheetData>
    <row r="1" spans="1:7" s="560" customFormat="1" ht="15.75">
      <c r="A1" s="665" t="s">
        <v>114</v>
      </c>
      <c r="G1" s="219"/>
    </row>
    <row r="2" spans="1:7" s="560" customFormat="1" ht="15.75">
      <c r="A2" s="665" t="s">
        <v>114</v>
      </c>
      <c r="G2" s="219"/>
    </row>
    <row r="3" spans="1:7" ht="19.5">
      <c r="A3" s="560"/>
      <c r="B3" s="1344" t="s">
        <v>391</v>
      </c>
      <c r="C3" s="1344"/>
      <c r="D3" s="1344"/>
      <c r="E3" s="1344"/>
    </row>
    <row r="4" spans="1:7" ht="19.5">
      <c r="A4" s="560"/>
      <c r="B4" s="1344" t="s">
        <v>778</v>
      </c>
      <c r="C4" s="1344"/>
      <c r="D4" s="1344"/>
      <c r="E4" s="1344"/>
    </row>
    <row r="5" spans="1:7" ht="19.5">
      <c r="A5" s="560"/>
      <c r="B5" s="1344" t="s">
        <v>779</v>
      </c>
      <c r="C5" s="1344"/>
      <c r="D5" s="1344"/>
      <c r="E5" s="1344"/>
    </row>
    <row r="6" spans="1:7" ht="19.5">
      <c r="A6" s="560"/>
      <c r="B6" s="1344" t="s">
        <v>788</v>
      </c>
      <c r="C6" s="1344"/>
      <c r="D6" s="1344"/>
      <c r="E6" s="1344"/>
    </row>
    <row r="7" spans="1:7" ht="19.5">
      <c r="A7" s="560"/>
      <c r="B7" s="1344" t="s">
        <v>781</v>
      </c>
      <c r="C7" s="1344"/>
      <c r="D7" s="1344"/>
      <c r="E7" s="1344"/>
    </row>
    <row r="8" spans="1:7" ht="19.5">
      <c r="A8" s="560"/>
      <c r="B8" s="1344" t="s">
        <v>789</v>
      </c>
      <c r="C8" s="1344"/>
      <c r="D8" s="1344"/>
      <c r="E8" s="1344"/>
    </row>
    <row r="9" spans="1:7" ht="15">
      <c r="A9" s="560"/>
      <c r="B9" s="848"/>
      <c r="C9" s="848"/>
      <c r="D9" s="563" t="s">
        <v>114</v>
      </c>
      <c r="E9" s="560"/>
    </row>
    <row r="10" spans="1:7" ht="15.75">
      <c r="A10" s="560"/>
      <c r="B10" s="848"/>
      <c r="C10" s="861" t="s">
        <v>399</v>
      </c>
      <c r="D10" s="560"/>
      <c r="E10" s="560"/>
    </row>
    <row r="11" spans="1:7" ht="15.75">
      <c r="A11" s="560"/>
      <c r="B11" s="563"/>
      <c r="C11" s="861" t="s">
        <v>403</v>
      </c>
      <c r="D11" s="861" t="s">
        <v>404</v>
      </c>
      <c r="E11" s="861"/>
    </row>
    <row r="12" spans="1:7" ht="15.75" thickBot="1">
      <c r="A12" s="560"/>
      <c r="B12" s="852"/>
      <c r="C12" s="848"/>
      <c r="D12" s="863" t="s">
        <v>499</v>
      </c>
      <c r="E12" s="560"/>
    </row>
    <row r="13" spans="1:7" ht="15">
      <c r="A13" s="560"/>
      <c r="B13" s="570" t="s">
        <v>406</v>
      </c>
      <c r="C13" s="854"/>
      <c r="D13" s="214"/>
      <c r="E13" s="560"/>
    </row>
    <row r="14" spans="1:7" ht="15">
      <c r="A14" s="560"/>
      <c r="B14" s="560"/>
      <c r="C14" s="864"/>
      <c r="D14" s="213"/>
      <c r="E14" s="865"/>
    </row>
    <row r="15" spans="1:7" ht="15">
      <c r="A15" s="560"/>
      <c r="B15" s="560" t="s">
        <v>790</v>
      </c>
      <c r="C15" s="560">
        <v>350.1</v>
      </c>
      <c r="D15" s="213">
        <v>1.44E-2</v>
      </c>
      <c r="E15" s="865"/>
    </row>
    <row r="16" spans="1:7" ht="15">
      <c r="A16" s="560"/>
      <c r="B16" s="560" t="s">
        <v>407</v>
      </c>
      <c r="C16" s="218">
        <v>352</v>
      </c>
      <c r="D16" s="213">
        <v>2.0799999999999999E-2</v>
      </c>
      <c r="E16" s="865"/>
    </row>
    <row r="17" spans="1:5" ht="15">
      <c r="A17" s="560"/>
      <c r="B17" s="560" t="s">
        <v>408</v>
      </c>
      <c r="C17" s="218">
        <v>353</v>
      </c>
      <c r="D17" s="213">
        <v>2.1499999999999998E-2</v>
      </c>
      <c r="E17" s="865"/>
    </row>
    <row r="18" spans="1:5" ht="15">
      <c r="A18" s="560"/>
      <c r="B18" s="560" t="s">
        <v>409</v>
      </c>
      <c r="C18" s="218">
        <v>354</v>
      </c>
      <c r="D18" s="213">
        <v>2.6100000000000002E-2</v>
      </c>
      <c r="E18" s="865"/>
    </row>
    <row r="19" spans="1:5" ht="15">
      <c r="A19" s="560"/>
      <c r="B19" s="560" t="s">
        <v>410</v>
      </c>
      <c r="C19" s="218">
        <v>355</v>
      </c>
      <c r="D19" s="213">
        <v>3.95E-2</v>
      </c>
      <c r="E19" s="865"/>
    </row>
    <row r="20" spans="1:5" ht="15">
      <c r="A20" s="560"/>
      <c r="B20" s="560" t="s">
        <v>774</v>
      </c>
      <c r="C20" s="218">
        <v>356</v>
      </c>
      <c r="D20" s="213">
        <v>2.9100000000000001E-2</v>
      </c>
      <c r="E20" s="865"/>
    </row>
    <row r="21" spans="1:5" ht="15">
      <c r="A21" s="560"/>
      <c r="B21" s="560" t="s">
        <v>411</v>
      </c>
      <c r="C21" s="218">
        <v>357</v>
      </c>
      <c r="D21" s="213">
        <v>2.9899999999999999E-2</v>
      </c>
      <c r="E21" s="865"/>
    </row>
    <row r="22" spans="1:5" ht="15">
      <c r="A22" s="560"/>
      <c r="B22" s="560" t="s">
        <v>412</v>
      </c>
      <c r="C22" s="218">
        <v>358</v>
      </c>
      <c r="D22" s="213">
        <v>2.6200000000000001E-2</v>
      </c>
      <c r="E22" s="865"/>
    </row>
    <row r="23" spans="1:5" ht="15">
      <c r="A23" s="560"/>
      <c r="B23" s="560"/>
      <c r="C23" s="848"/>
      <c r="D23" s="213"/>
      <c r="E23" s="560"/>
    </row>
    <row r="24" spans="1:5" ht="15.75">
      <c r="A24" s="560"/>
      <c r="B24" s="560" t="s">
        <v>784</v>
      </c>
      <c r="C24" s="855"/>
      <c r="D24" s="221"/>
      <c r="E24" s="560"/>
    </row>
    <row r="25" spans="1:5" ht="15">
      <c r="A25" s="560"/>
      <c r="B25" s="1345"/>
      <c r="C25" s="1345"/>
      <c r="D25" s="1345"/>
      <c r="E25" s="1345"/>
    </row>
    <row r="26" spans="1:5" ht="15">
      <c r="A26" s="560"/>
      <c r="B26" s="1345" t="s">
        <v>791</v>
      </c>
      <c r="C26" s="1345"/>
      <c r="D26" s="1345"/>
      <c r="E26" s="1345"/>
    </row>
    <row r="27" spans="1:5" ht="15">
      <c r="A27" s="560"/>
      <c r="B27" s="1345"/>
      <c r="C27" s="1345"/>
      <c r="D27" s="1345"/>
      <c r="E27" s="1345"/>
    </row>
    <row r="28" spans="1:5" ht="15.75">
      <c r="A28" s="560"/>
      <c r="B28" s="857" t="s">
        <v>787</v>
      </c>
      <c r="C28" s="848"/>
      <c r="D28" s="213"/>
      <c r="E28" s="560"/>
    </row>
    <row r="29" spans="1:5" ht="15">
      <c r="A29" s="560"/>
      <c r="B29" s="1343" t="s">
        <v>821</v>
      </c>
      <c r="C29" s="1343"/>
      <c r="D29" s="1343"/>
      <c r="E29" s="862"/>
    </row>
    <row r="30" spans="1:5" ht="15">
      <c r="A30" s="560"/>
      <c r="B30" s="1343"/>
      <c r="C30" s="1343"/>
      <c r="D30" s="1343"/>
      <c r="E30" s="862"/>
    </row>
    <row r="31" spans="1:5" ht="15">
      <c r="A31" s="560"/>
      <c r="B31" s="1343"/>
      <c r="C31" s="1343"/>
      <c r="D31" s="1343"/>
      <c r="E31" s="862"/>
    </row>
    <row r="32" spans="1:5" ht="15">
      <c r="A32" s="560"/>
      <c r="B32" s="1343"/>
      <c r="C32" s="1343"/>
      <c r="D32" s="1343"/>
      <c r="E32" s="862"/>
    </row>
    <row r="33" spans="1:5" ht="15">
      <c r="A33" s="560"/>
      <c r="B33" s="1343"/>
      <c r="C33" s="1343"/>
      <c r="D33" s="1343"/>
      <c r="E33" s="862"/>
    </row>
  </sheetData>
  <mergeCells count="10">
    <mergeCell ref="B25:E25"/>
    <mergeCell ref="B26:E26"/>
    <mergeCell ref="B27:E27"/>
    <mergeCell ref="B29:D33"/>
    <mergeCell ref="B3:E3"/>
    <mergeCell ref="B4:E4"/>
    <mergeCell ref="B5:E5"/>
    <mergeCell ref="B6:E6"/>
    <mergeCell ref="B7:E7"/>
    <mergeCell ref="B8:E8"/>
  </mergeCells>
  <conditionalFormatting sqref="B3:E4">
    <cfRule type="cellIs" dxfId="2" priority="1" stopIfTrue="1" operator="lessThan">
      <formula>0</formula>
    </cfRule>
  </conditionalFormatting>
  <pageMargins left="0.7" right="0.7" top="0.75" bottom="0.75" header="0.3" footer="0.3"/>
  <pageSetup scale="86"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dimension ref="A1:G47"/>
  <sheetViews>
    <sheetView tabSelected="1" view="pageBreakPreview" zoomScale="60" zoomScaleNormal="70" workbookViewId="0">
      <selection activeCell="F7" sqref="F7"/>
    </sheetView>
  </sheetViews>
  <sheetFormatPr defaultColWidth="9.140625" defaultRowHeight="12.75"/>
  <cols>
    <col min="1" max="1" width="38.85546875" style="847" customWidth="1"/>
    <col min="2" max="2" width="28.42578125" style="847" customWidth="1"/>
    <col min="3" max="3" width="23.140625" style="847" customWidth="1"/>
    <col min="4" max="16384" width="9.140625" style="847"/>
  </cols>
  <sheetData>
    <row r="1" spans="1:7" s="560" customFormat="1" ht="15.75">
      <c r="A1" s="665" t="s">
        <v>114</v>
      </c>
      <c r="G1" s="219"/>
    </row>
    <row r="2" spans="1:7" s="560" customFormat="1" ht="15.75">
      <c r="A2" s="665" t="s">
        <v>114</v>
      </c>
      <c r="G2" s="219"/>
    </row>
    <row r="3" spans="1:7" ht="19.5">
      <c r="A3" s="1344" t="s">
        <v>391</v>
      </c>
      <c r="B3" s="1344"/>
      <c r="C3" s="1344"/>
      <c r="D3" s="1344"/>
    </row>
    <row r="4" spans="1:7" ht="19.5">
      <c r="A4" s="1344" t="s">
        <v>778</v>
      </c>
      <c r="B4" s="1344"/>
      <c r="C4" s="1344"/>
      <c r="D4" s="1344"/>
    </row>
    <row r="5" spans="1:7" ht="19.5">
      <c r="A5" s="1344" t="s">
        <v>779</v>
      </c>
      <c r="B5" s="1344"/>
      <c r="C5" s="1344"/>
      <c r="D5" s="1344"/>
    </row>
    <row r="6" spans="1:7" ht="19.5">
      <c r="A6" s="1344" t="s">
        <v>1243</v>
      </c>
      <c r="B6" s="1344"/>
      <c r="C6" s="1344"/>
      <c r="D6" s="1344"/>
    </row>
    <row r="7" spans="1:7" ht="19.5">
      <c r="A7" s="1344" t="s">
        <v>781</v>
      </c>
      <c r="B7" s="1344"/>
      <c r="C7" s="1344"/>
      <c r="D7" s="1344"/>
    </row>
    <row r="8" spans="1:7" ht="19.5">
      <c r="A8" s="1344" t="s">
        <v>792</v>
      </c>
      <c r="B8" s="1344"/>
      <c r="C8" s="1344"/>
      <c r="D8" s="1344"/>
    </row>
    <row r="9" spans="1:7" ht="15">
      <c r="A9" s="848"/>
      <c r="B9" s="848"/>
      <c r="C9" s="563" t="s">
        <v>114</v>
      </c>
      <c r="D9" s="560"/>
    </row>
    <row r="10" spans="1:7" ht="15.75">
      <c r="A10" s="848"/>
      <c r="B10" s="861" t="s">
        <v>399</v>
      </c>
      <c r="C10" s="560"/>
      <c r="D10" s="560"/>
    </row>
    <row r="11" spans="1:7" ht="15.75">
      <c r="A11" s="563"/>
      <c r="B11" s="861" t="s">
        <v>403</v>
      </c>
      <c r="C11" s="861" t="s">
        <v>404</v>
      </c>
      <c r="D11" s="861"/>
    </row>
    <row r="12" spans="1:7" ht="15.75" thickBot="1">
      <c r="A12" s="852"/>
      <c r="B12" s="848"/>
      <c r="C12" s="863" t="s">
        <v>499</v>
      </c>
      <c r="D12" s="560"/>
    </row>
    <row r="13" spans="1:7" ht="15">
      <c r="A13" s="570" t="s">
        <v>406</v>
      </c>
      <c r="B13" s="854"/>
      <c r="C13" s="214"/>
      <c r="D13" s="560"/>
    </row>
    <row r="14" spans="1:7" ht="15">
      <c r="A14" s="560" t="s">
        <v>407</v>
      </c>
      <c r="B14" s="218">
        <v>352</v>
      </c>
      <c r="C14" s="213">
        <v>2.0199999999999999E-2</v>
      </c>
      <c r="D14" s="865"/>
    </row>
    <row r="15" spans="1:7" ht="15">
      <c r="A15" s="560" t="s">
        <v>408</v>
      </c>
      <c r="B15" s="218">
        <v>353</v>
      </c>
      <c r="C15" s="213">
        <v>2.29E-2</v>
      </c>
      <c r="D15" s="865"/>
    </row>
    <row r="16" spans="1:7" ht="15">
      <c r="A16" s="864"/>
      <c r="B16" s="218"/>
      <c r="C16" s="213"/>
      <c r="D16" s="865"/>
    </row>
    <row r="17" spans="1:4" ht="15">
      <c r="A17" s="560" t="s">
        <v>793</v>
      </c>
      <c r="B17" s="218">
        <v>354</v>
      </c>
      <c r="C17" s="213">
        <v>1.8800000000000001E-2</v>
      </c>
      <c r="D17" s="865"/>
    </row>
    <row r="18" spans="1:4" ht="15">
      <c r="A18" s="560" t="s">
        <v>794</v>
      </c>
      <c r="B18" s="218">
        <v>354</v>
      </c>
      <c r="C18" s="213">
        <v>1.8800000000000001E-2</v>
      </c>
      <c r="D18" s="865"/>
    </row>
    <row r="19" spans="1:4" ht="15">
      <c r="A19" s="560"/>
      <c r="B19" s="218"/>
      <c r="C19" s="213"/>
      <c r="D19" s="865"/>
    </row>
    <row r="20" spans="1:4" ht="15">
      <c r="A20" s="560" t="s">
        <v>795</v>
      </c>
      <c r="B20" s="218">
        <v>355</v>
      </c>
      <c r="C20" s="213">
        <v>3.5200000000000002E-2</v>
      </c>
      <c r="D20" s="865"/>
    </row>
    <row r="21" spans="1:4" ht="15">
      <c r="A21" s="560" t="s">
        <v>796</v>
      </c>
      <c r="B21" s="218">
        <v>355</v>
      </c>
      <c r="C21" s="213">
        <v>3.5200000000000002E-2</v>
      </c>
      <c r="D21" s="865"/>
    </row>
    <row r="22" spans="1:4" ht="15">
      <c r="A22" s="560"/>
      <c r="B22" s="218"/>
      <c r="C22" s="213"/>
      <c r="D22" s="865"/>
    </row>
    <row r="23" spans="1:4" ht="15">
      <c r="A23" s="560" t="s">
        <v>797</v>
      </c>
      <c r="B23" s="218">
        <v>356</v>
      </c>
      <c r="C23" s="213">
        <v>1.9099999999999999E-2</v>
      </c>
      <c r="D23" s="865"/>
    </row>
    <row r="24" spans="1:4" ht="15">
      <c r="A24" s="560" t="s">
        <v>798</v>
      </c>
      <c r="B24" s="218">
        <v>356</v>
      </c>
      <c r="C24" s="213">
        <v>1.9099999999999999E-2</v>
      </c>
      <c r="D24" s="865"/>
    </row>
    <row r="25" spans="1:4" ht="15">
      <c r="A25" s="560" t="s">
        <v>799</v>
      </c>
      <c r="B25" s="218">
        <v>356</v>
      </c>
      <c r="C25" s="213">
        <v>1.9099999999999999E-2</v>
      </c>
      <c r="D25" s="865"/>
    </row>
    <row r="26" spans="1:4" ht="15">
      <c r="A26" s="560" t="s">
        <v>800</v>
      </c>
      <c r="B26" s="218">
        <v>356</v>
      </c>
      <c r="C26" s="213">
        <v>1.9099999999999999E-2</v>
      </c>
      <c r="D26" s="865"/>
    </row>
    <row r="27" spans="1:4" ht="15">
      <c r="A27" s="560" t="s">
        <v>801</v>
      </c>
      <c r="B27" s="218">
        <v>356</v>
      </c>
      <c r="C27" s="213">
        <v>1.9099999999999999E-2</v>
      </c>
      <c r="D27" s="865"/>
    </row>
    <row r="28" spans="1:4" ht="15">
      <c r="A28" s="560"/>
      <c r="B28" s="218"/>
      <c r="C28" s="213"/>
      <c r="D28" s="865"/>
    </row>
    <row r="29" spans="1:4" ht="15">
      <c r="A29" s="560" t="s">
        <v>411</v>
      </c>
      <c r="B29" s="218">
        <v>357</v>
      </c>
      <c r="C29" s="213">
        <v>2.2599999999999999E-2</v>
      </c>
      <c r="D29" s="865"/>
    </row>
    <row r="30" spans="1:4" ht="15">
      <c r="A30" s="560" t="s">
        <v>412</v>
      </c>
      <c r="B30" s="218">
        <v>358</v>
      </c>
      <c r="C30" s="213">
        <v>3.27E-2</v>
      </c>
      <c r="D30" s="865"/>
    </row>
    <row r="31" spans="1:4" ht="15">
      <c r="A31" s="864"/>
      <c r="B31" s="848"/>
      <c r="C31" s="213"/>
      <c r="D31" s="560"/>
    </row>
    <row r="32" spans="1:4" ht="15.75" thickBot="1">
      <c r="A32" s="869"/>
      <c r="B32" s="870"/>
      <c r="C32" s="871"/>
      <c r="D32" s="560"/>
    </row>
    <row r="33" spans="1:4" ht="15">
      <c r="A33" s="852"/>
      <c r="B33" s="848"/>
      <c r="C33" s="213"/>
      <c r="D33" s="560"/>
    </row>
    <row r="34" spans="1:4" ht="15">
      <c r="A34" s="560"/>
      <c r="B34" s="848"/>
      <c r="C34" s="213"/>
      <c r="D34" s="560"/>
    </row>
    <row r="35" spans="1:4" ht="15.75">
      <c r="A35" s="560" t="s">
        <v>784</v>
      </c>
      <c r="B35" s="855"/>
      <c r="C35" s="221"/>
      <c r="D35" s="560"/>
    </row>
    <row r="36" spans="1:4" ht="15">
      <c r="A36" s="560"/>
      <c r="B36" s="560"/>
      <c r="C36" s="560"/>
      <c r="D36" s="560"/>
    </row>
    <row r="37" spans="1:4" ht="15">
      <c r="A37" s="1345" t="s">
        <v>1244</v>
      </c>
      <c r="B37" s="1345"/>
      <c r="C37" s="1345"/>
      <c r="D37" s="1345"/>
    </row>
    <row r="38" spans="1:4" ht="15">
      <c r="A38" s="560" t="s">
        <v>1245</v>
      </c>
      <c r="B38" s="560"/>
      <c r="C38" s="560"/>
      <c r="D38" s="560"/>
    </row>
    <row r="39" spans="1:4" ht="15">
      <c r="A39" s="560"/>
      <c r="B39" s="560"/>
      <c r="C39" s="560"/>
      <c r="D39" s="560"/>
    </row>
    <row r="40" spans="1:4" ht="15">
      <c r="A40" s="560"/>
      <c r="B40" s="560"/>
      <c r="C40" s="560"/>
      <c r="D40" s="560"/>
    </row>
    <row r="41" spans="1:4" ht="15.75">
      <c r="A41" s="857" t="s">
        <v>802</v>
      </c>
      <c r="B41" s="848"/>
      <c r="C41" s="213"/>
      <c r="D41" s="560"/>
    </row>
    <row r="42" spans="1:4">
      <c r="A42" s="1343" t="s">
        <v>821</v>
      </c>
      <c r="B42" s="1343"/>
      <c r="C42" s="1343"/>
      <c r="D42" s="862"/>
    </row>
    <row r="43" spans="1:4">
      <c r="A43" s="1343"/>
      <c r="B43" s="1343"/>
      <c r="C43" s="1343"/>
      <c r="D43" s="862"/>
    </row>
    <row r="44" spans="1:4">
      <c r="A44" s="1343"/>
      <c r="B44" s="1343"/>
      <c r="C44" s="1343"/>
      <c r="D44" s="862"/>
    </row>
    <row r="45" spans="1:4">
      <c r="A45" s="1343"/>
      <c r="B45" s="1343"/>
      <c r="C45" s="1343"/>
      <c r="D45" s="862"/>
    </row>
    <row r="46" spans="1:4">
      <c r="A46" s="1343"/>
      <c r="B46" s="1343"/>
      <c r="C46" s="1343"/>
      <c r="D46" s="862"/>
    </row>
    <row r="47" spans="1:4" ht="15">
      <c r="A47" s="560"/>
      <c r="B47" s="560"/>
      <c r="C47" s="560"/>
      <c r="D47" s="560"/>
    </row>
  </sheetData>
  <mergeCells count="8">
    <mergeCell ref="A37:D37"/>
    <mergeCell ref="A42:C46"/>
    <mergeCell ref="A3:D3"/>
    <mergeCell ref="A4:D4"/>
    <mergeCell ref="A5:D5"/>
    <mergeCell ref="A6:D6"/>
    <mergeCell ref="A7:D7"/>
    <mergeCell ref="A8:D8"/>
  </mergeCells>
  <pageMargins left="0.7" right="0.7" top="0.75" bottom="0.75" header="0.3" footer="0.3"/>
  <pageSetup scale="91"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ransitionEvaluation="1" codeName="Sheet27">
    <pageSetUpPr autoPageBreaks="0" fitToPage="1"/>
  </sheetPr>
  <dimension ref="A1:H45"/>
  <sheetViews>
    <sheetView tabSelected="1" defaultGridColor="0" colorId="22" zoomScale="75" workbookViewId="0">
      <selection activeCell="F7" sqref="F7"/>
    </sheetView>
  </sheetViews>
  <sheetFormatPr defaultColWidth="14.5703125" defaultRowHeight="15"/>
  <cols>
    <col min="1" max="1" width="41.5703125" style="560" customWidth="1"/>
    <col min="2" max="2" width="33.140625" style="560" customWidth="1"/>
    <col min="3" max="4" width="31.85546875" style="560" customWidth="1"/>
    <col min="5" max="5" width="16.5703125" style="560" customWidth="1"/>
    <col min="6" max="6" width="14.5703125" style="560" customWidth="1"/>
    <col min="7" max="7" width="4.85546875" style="560" customWidth="1"/>
    <col min="8" max="8" width="14.5703125" style="219" customWidth="1"/>
    <col min="9" max="9" width="18.42578125" style="560" customWidth="1"/>
    <col min="10" max="10" width="15.5703125" style="560" customWidth="1"/>
    <col min="11" max="11" width="6.140625" style="560" customWidth="1"/>
    <col min="12" max="12" width="14.5703125" style="560" customWidth="1"/>
    <col min="13" max="13" width="16.140625" style="560" customWidth="1"/>
    <col min="14" max="14" width="14.5703125" style="560" customWidth="1"/>
    <col min="15" max="15" width="4.85546875" style="560" customWidth="1"/>
    <col min="16" max="16" width="18.5703125" style="560" customWidth="1"/>
    <col min="17" max="16384" width="14.5703125" style="560"/>
  </cols>
  <sheetData>
    <row r="1" spans="1:7" s="560" customFormat="1" ht="15.75">
      <c r="A1" s="665" t="s">
        <v>114</v>
      </c>
      <c r="G1" s="219"/>
    </row>
    <row r="2" spans="1:7" s="560" customFormat="1" ht="15.75">
      <c r="A2" s="665" t="s">
        <v>114</v>
      </c>
      <c r="G2" s="219"/>
    </row>
    <row r="3" spans="1:7" ht="19.5">
      <c r="B3" s="1344" t="s">
        <v>391</v>
      </c>
      <c r="C3" s="1344"/>
      <c r="D3" s="1344"/>
      <c r="E3" s="1344"/>
    </row>
    <row r="4" spans="1:7" ht="19.5">
      <c r="B4" s="1344" t="s">
        <v>778</v>
      </c>
      <c r="C4" s="1344"/>
      <c r="D4" s="1344"/>
      <c r="E4" s="1344"/>
    </row>
    <row r="5" spans="1:7" ht="19.5">
      <c r="B5" s="1344" t="s">
        <v>779</v>
      </c>
      <c r="C5" s="1344"/>
      <c r="D5" s="1344"/>
      <c r="E5" s="1344"/>
    </row>
    <row r="6" spans="1:7" ht="19.5">
      <c r="B6" s="1344" t="s">
        <v>1246</v>
      </c>
      <c r="C6" s="1344"/>
      <c r="D6" s="1344"/>
      <c r="E6" s="1344"/>
    </row>
    <row r="7" spans="1:7" ht="19.5">
      <c r="B7" s="1344" t="s">
        <v>781</v>
      </c>
      <c r="C7" s="1344"/>
      <c r="D7" s="1344"/>
      <c r="E7" s="1344"/>
    </row>
    <row r="8" spans="1:7" ht="19.5">
      <c r="B8" s="1344" t="s">
        <v>803</v>
      </c>
      <c r="C8" s="1344"/>
      <c r="D8" s="1344"/>
      <c r="E8" s="1344"/>
    </row>
    <row r="9" spans="1:7">
      <c r="B9" s="848"/>
      <c r="C9" s="848"/>
      <c r="D9" s="563" t="s">
        <v>114</v>
      </c>
    </row>
    <row r="10" spans="1:7">
      <c r="A10" s="1343"/>
      <c r="B10" s="1343"/>
      <c r="C10" s="1343"/>
      <c r="D10" s="862"/>
    </row>
    <row r="11" spans="1:7" ht="15.75">
      <c r="A11" s="848"/>
      <c r="B11" s="861" t="s">
        <v>399</v>
      </c>
    </row>
    <row r="12" spans="1:7" ht="15.75">
      <c r="A12" s="563"/>
      <c r="B12" s="861" t="s">
        <v>403</v>
      </c>
      <c r="C12" s="861" t="s">
        <v>404</v>
      </c>
      <c r="D12" s="861"/>
    </row>
    <row r="13" spans="1:7" ht="15.75" thickBot="1">
      <c r="C13" s="865" t="s">
        <v>499</v>
      </c>
    </row>
    <row r="14" spans="1:7">
      <c r="A14" s="570" t="s">
        <v>406</v>
      </c>
      <c r="B14" s="854"/>
      <c r="C14" s="214"/>
    </row>
    <row r="15" spans="1:7">
      <c r="A15" s="864"/>
      <c r="D15" s="865"/>
    </row>
    <row r="16" spans="1:7">
      <c r="A16" s="560" t="s">
        <v>407</v>
      </c>
      <c r="B16" s="218">
        <v>352</v>
      </c>
      <c r="C16" s="213">
        <v>1.15E-2</v>
      </c>
      <c r="D16" s="865"/>
    </row>
    <row r="17" spans="1:4">
      <c r="A17" s="560" t="s">
        <v>408</v>
      </c>
      <c r="B17" s="218">
        <v>353</v>
      </c>
      <c r="C17" s="213">
        <v>2.2200000000000001E-2</v>
      </c>
      <c r="D17" s="865"/>
    </row>
    <row r="18" spans="1:4">
      <c r="A18" s="560" t="s">
        <v>409</v>
      </c>
      <c r="B18" s="218">
        <v>354</v>
      </c>
      <c r="C18" s="213">
        <v>2.6499999999999999E-2</v>
      </c>
      <c r="D18" s="865"/>
    </row>
    <row r="19" spans="1:4">
      <c r="A19" s="560" t="s">
        <v>410</v>
      </c>
      <c r="B19" s="218">
        <v>355</v>
      </c>
      <c r="C19" s="213">
        <v>2.41E-2</v>
      </c>
      <c r="D19" s="865"/>
    </row>
    <row r="20" spans="1:4">
      <c r="A20" s="560" t="s">
        <v>774</v>
      </c>
      <c r="B20" s="218">
        <v>356</v>
      </c>
      <c r="C20" s="213">
        <v>1.32E-2</v>
      </c>
      <c r="D20" s="865"/>
    </row>
    <row r="21" spans="1:4">
      <c r="A21" s="560" t="s">
        <v>411</v>
      </c>
      <c r="B21" s="218">
        <v>351</v>
      </c>
      <c r="C21" s="213">
        <v>9.9400000000000002E-2</v>
      </c>
      <c r="D21" s="865"/>
    </row>
    <row r="22" spans="1:4">
      <c r="A22" s="560" t="s">
        <v>412</v>
      </c>
      <c r="B22" s="218">
        <v>351</v>
      </c>
      <c r="C22" s="213">
        <v>0.13980000000000001</v>
      </c>
      <c r="D22" s="865"/>
    </row>
    <row r="23" spans="1:4">
      <c r="A23" s="560" t="s">
        <v>775</v>
      </c>
      <c r="B23" s="218">
        <v>359</v>
      </c>
      <c r="C23" s="863" t="s">
        <v>804</v>
      </c>
      <c r="D23" s="865"/>
    </row>
    <row r="24" spans="1:4" ht="15.75" thickBot="1">
      <c r="B24" s="218"/>
      <c r="C24" s="213"/>
      <c r="D24" s="865"/>
    </row>
    <row r="25" spans="1:4">
      <c r="A25" s="570" t="s">
        <v>805</v>
      </c>
      <c r="B25" s="854"/>
      <c r="C25" s="214"/>
      <c r="D25" s="865"/>
    </row>
    <row r="26" spans="1:4" ht="15" customHeight="1">
      <c r="B26" s="218"/>
      <c r="C26" s="213"/>
      <c r="D26" s="865"/>
    </row>
    <row r="27" spans="1:4">
      <c r="A27" s="560" t="s">
        <v>806</v>
      </c>
      <c r="B27" s="218">
        <v>390</v>
      </c>
      <c r="C27" s="213">
        <v>1.0800000000000001E-2</v>
      </c>
      <c r="D27" s="865"/>
    </row>
    <row r="28" spans="1:4">
      <c r="A28" s="560" t="s">
        <v>807</v>
      </c>
      <c r="B28" s="218">
        <v>391</v>
      </c>
      <c r="C28" s="213">
        <v>2.1299999999999999E-2</v>
      </c>
      <c r="D28" s="865"/>
    </row>
    <row r="29" spans="1:4">
      <c r="A29" s="560" t="s">
        <v>808</v>
      </c>
      <c r="B29" s="218">
        <v>393</v>
      </c>
      <c r="C29" s="213">
        <v>1.78E-2</v>
      </c>
      <c r="D29" s="865"/>
    </row>
    <row r="30" spans="1:4" ht="15" customHeight="1">
      <c r="A30" s="560" t="s">
        <v>809</v>
      </c>
      <c r="B30" s="218">
        <v>394</v>
      </c>
      <c r="C30" s="213">
        <v>1.6500000000000001E-2</v>
      </c>
      <c r="D30" s="865"/>
    </row>
    <row r="31" spans="1:4">
      <c r="A31" s="560" t="s">
        <v>811</v>
      </c>
      <c r="B31" s="218">
        <v>397</v>
      </c>
      <c r="C31" s="213">
        <v>5.0900000000000001E-2</v>
      </c>
      <c r="D31" s="865"/>
    </row>
    <row r="32" spans="1:4">
      <c r="A32" s="560" t="s">
        <v>812</v>
      </c>
      <c r="B32" s="218">
        <v>398</v>
      </c>
      <c r="C32" s="213">
        <v>2.76E-2</v>
      </c>
      <c r="D32" s="865"/>
    </row>
    <row r="33" spans="1:4">
      <c r="B33" s="218"/>
      <c r="C33" s="213"/>
      <c r="D33" s="865"/>
    </row>
    <row r="34" spans="1:4">
      <c r="B34" s="218"/>
      <c r="C34" s="213"/>
      <c r="D34" s="865"/>
    </row>
    <row r="35" spans="1:4">
      <c r="B35" s="218"/>
      <c r="C35" s="213"/>
      <c r="D35" s="865"/>
    </row>
    <row r="36" spans="1:4">
      <c r="A36" s="864"/>
      <c r="B36" s="848"/>
      <c r="C36" s="213"/>
    </row>
    <row r="37" spans="1:4">
      <c r="A37" s="1345" t="s">
        <v>1247</v>
      </c>
      <c r="B37" s="1345"/>
      <c r="C37" s="1345"/>
      <c r="D37" s="1345"/>
    </row>
    <row r="38" spans="1:4" ht="15.75">
      <c r="B38" s="855"/>
      <c r="C38" s="221"/>
    </row>
    <row r="39" spans="1:4">
      <c r="A39" s="1345"/>
      <c r="B39" s="1345"/>
      <c r="C39" s="1345"/>
      <c r="D39" s="1345"/>
    </row>
    <row r="40" spans="1:4" ht="15.75">
      <c r="A40" s="857" t="s">
        <v>802</v>
      </c>
      <c r="B40" s="848"/>
      <c r="C40" s="213"/>
    </row>
    <row r="41" spans="1:4">
      <c r="A41" s="1343" t="s">
        <v>821</v>
      </c>
      <c r="B41" s="1343"/>
      <c r="C41" s="1343"/>
      <c r="D41" s="862"/>
    </row>
    <row r="42" spans="1:4">
      <c r="A42" s="1343"/>
      <c r="B42" s="1343"/>
      <c r="C42" s="1343"/>
      <c r="D42" s="862"/>
    </row>
    <row r="43" spans="1:4">
      <c r="A43" s="1343"/>
      <c r="B43" s="1343"/>
      <c r="C43" s="1343"/>
      <c r="D43" s="862"/>
    </row>
    <row r="44" spans="1:4">
      <c r="A44" s="1343"/>
      <c r="B44" s="1343"/>
      <c r="C44" s="1343"/>
      <c r="D44" s="862"/>
    </row>
    <row r="45" spans="1:4">
      <c r="A45" s="1343"/>
      <c r="B45" s="1343"/>
      <c r="C45" s="1343"/>
      <c r="D45" s="862"/>
    </row>
  </sheetData>
  <mergeCells count="10">
    <mergeCell ref="A37:D37"/>
    <mergeCell ref="A39:D39"/>
    <mergeCell ref="A41:C45"/>
    <mergeCell ref="A10:C10"/>
    <mergeCell ref="B3:E3"/>
    <mergeCell ref="B4:E4"/>
    <mergeCell ref="B5:E5"/>
    <mergeCell ref="B6:E6"/>
    <mergeCell ref="B7:E7"/>
    <mergeCell ref="B8:E8"/>
  </mergeCells>
  <conditionalFormatting sqref="B3:T4">
    <cfRule type="cellIs" dxfId="1" priority="2" stopIfTrue="1" operator="lessThan">
      <formula>0</formula>
    </cfRule>
  </conditionalFormatting>
  <conditionalFormatting sqref="C23">
    <cfRule type="cellIs" dxfId="0" priority="1" stopIfTrue="1" operator="lessThan">
      <formula>0</formula>
    </cfRule>
  </conditionalFormatting>
  <printOptions horizontalCentered="1"/>
  <pageMargins left="0.55000000000000004" right="0.55000000000000004" top="1.25" bottom="0.75" header="0.75" footer="0.27"/>
  <pageSetup orientation="landscape" r:id="rId1"/>
  <headerFooter alignWithMargins="0">
    <oddHeader>&amp;RFormula Rate 
&amp;A
Page &amp;P of &amp;N</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dimension ref="A1:K57"/>
  <sheetViews>
    <sheetView tabSelected="1" view="pageBreakPreview" topLeftCell="A3" zoomScale="60" zoomScaleNormal="100" workbookViewId="0">
      <selection activeCell="F7" sqref="F7"/>
    </sheetView>
  </sheetViews>
  <sheetFormatPr defaultColWidth="8.85546875" defaultRowHeight="12.75"/>
  <cols>
    <col min="1" max="1" width="42.42578125" customWidth="1"/>
    <col min="2" max="2" width="10.42578125" customWidth="1"/>
    <col min="3" max="3" width="3.42578125" customWidth="1"/>
    <col min="4" max="4" width="28.5703125" customWidth="1"/>
    <col min="5" max="5" width="4.5703125" customWidth="1"/>
    <col min="6" max="6" width="15.5703125" customWidth="1"/>
    <col min="8" max="8" width="21.140625" customWidth="1"/>
    <col min="9" max="9" width="17.42578125" customWidth="1"/>
    <col min="11" max="11" width="18.140625" customWidth="1"/>
  </cols>
  <sheetData>
    <row r="1" spans="1:11" ht="15.75">
      <c r="A1" s="1347" t="s">
        <v>387</v>
      </c>
      <c r="B1" s="1347"/>
      <c r="C1" s="1347"/>
      <c r="D1" s="1347"/>
      <c r="E1" s="1347"/>
      <c r="F1" s="1347"/>
      <c r="G1" s="1347"/>
      <c r="H1" s="1347"/>
      <c r="I1" s="1347"/>
      <c r="J1" s="1347"/>
      <c r="K1" s="1347"/>
    </row>
    <row r="2" spans="1:11" ht="15.75">
      <c r="A2" s="1346" t="s">
        <v>567</v>
      </c>
      <c r="B2" s="1346"/>
      <c r="C2" s="1346"/>
      <c r="D2" s="1346"/>
      <c r="E2" s="1346"/>
      <c r="F2" s="1346"/>
      <c r="G2" s="1346"/>
      <c r="H2" s="1346"/>
      <c r="I2" s="1346"/>
      <c r="J2" s="1346"/>
      <c r="K2" s="1346"/>
    </row>
    <row r="3" spans="1:11" ht="15.75">
      <c r="A3" s="1346" t="s">
        <v>568</v>
      </c>
      <c r="B3" s="1346"/>
      <c r="C3" s="1346"/>
      <c r="D3" s="1346"/>
      <c r="E3" s="1346"/>
      <c r="F3" s="1346"/>
      <c r="G3" s="1346"/>
      <c r="H3" s="1346"/>
      <c r="I3" s="1346"/>
      <c r="J3" s="1346"/>
      <c r="K3" s="1346"/>
    </row>
    <row r="4" spans="1:11" ht="15.75">
      <c r="A4" s="2"/>
      <c r="B4" s="2"/>
      <c r="C4" s="2"/>
      <c r="D4" s="1346"/>
      <c r="E4" s="1346"/>
      <c r="F4" s="1346"/>
      <c r="G4" s="1346"/>
      <c r="H4" s="2"/>
      <c r="I4" s="2"/>
      <c r="J4" s="2"/>
      <c r="K4" s="2"/>
    </row>
    <row r="7" spans="1:11" ht="16.5" thickBot="1">
      <c r="A7" s="577"/>
      <c r="B7" s="578"/>
      <c r="C7" s="578"/>
      <c r="D7" s="578"/>
      <c r="E7" s="578"/>
      <c r="F7" s="578"/>
      <c r="G7" s="578"/>
      <c r="H7" s="578"/>
      <c r="I7" s="578"/>
      <c r="J7" s="578"/>
      <c r="K7" s="578"/>
    </row>
    <row r="8" spans="1:11" ht="47.25">
      <c r="A8" s="579" t="str">
        <f>"Reconciliation Revenue Requirement For Year 2018 Available May 25, 2019"</f>
        <v>Reconciliation Revenue Requirement For Year 2018 Available May 25, 2019</v>
      </c>
      <c r="B8" s="578"/>
      <c r="C8" s="578"/>
      <c r="D8" s="579" t="s">
        <v>1067</v>
      </c>
      <c r="E8" s="578"/>
      <c r="F8" s="578"/>
      <c r="G8" s="2"/>
      <c r="H8" s="579" t="s">
        <v>548</v>
      </c>
      <c r="I8" s="2"/>
      <c r="J8" s="2"/>
      <c r="K8" s="2"/>
    </row>
    <row r="9" spans="1:11" ht="15.75">
      <c r="A9" s="580" t="s">
        <v>114</v>
      </c>
      <c r="B9" s="578"/>
      <c r="C9" s="578"/>
      <c r="D9" s="580"/>
      <c r="E9" s="578"/>
      <c r="F9" s="578"/>
      <c r="G9" s="2"/>
      <c r="H9" s="581"/>
      <c r="I9" s="2"/>
      <c r="J9" s="2"/>
      <c r="K9" s="2"/>
    </row>
    <row r="10" spans="1:11" ht="16.5" thickBot="1">
      <c r="A10" s="660">
        <v>0</v>
      </c>
      <c r="B10" s="582" t="str">
        <f>"-"</f>
        <v>-</v>
      </c>
      <c r="C10" s="583"/>
      <c r="D10" s="660">
        <v>0</v>
      </c>
      <c r="E10" s="584"/>
      <c r="F10" s="585" t="str">
        <f>"="</f>
        <v>=</v>
      </c>
      <c r="G10" s="586"/>
      <c r="H10" s="587">
        <f>IF(A10=0,0,D10-A10)</f>
        <v>0</v>
      </c>
      <c r="I10" s="2"/>
      <c r="J10" s="2"/>
      <c r="K10" s="2"/>
    </row>
    <row r="11" spans="1:11" ht="15.75">
      <c r="A11" s="588"/>
      <c r="B11" s="589"/>
      <c r="C11" s="589"/>
      <c r="D11" s="588"/>
      <c r="E11" s="588"/>
      <c r="F11" s="589"/>
      <c r="G11" s="588"/>
      <c r="H11" s="2"/>
      <c r="I11" s="2"/>
      <c r="J11" s="2"/>
      <c r="K11" s="2"/>
    </row>
    <row r="12" spans="1:11" ht="16.5" thickBot="1">
      <c r="A12" s="590"/>
      <c r="B12" s="591"/>
      <c r="C12" s="591"/>
      <c r="D12" s="590"/>
      <c r="E12" s="590"/>
      <c r="F12" s="591"/>
      <c r="G12" s="590"/>
      <c r="H12" s="592"/>
      <c r="I12" s="592"/>
      <c r="J12" s="592"/>
      <c r="K12" s="592"/>
    </row>
    <row r="13" spans="1:11" ht="15.75">
      <c r="A13" s="593"/>
      <c r="B13" s="589"/>
      <c r="C13" s="589"/>
      <c r="D13" s="588"/>
      <c r="E13" s="588"/>
      <c r="F13" s="589"/>
      <c r="G13" s="588"/>
      <c r="H13" s="2"/>
      <c r="I13" s="2"/>
      <c r="J13" s="2"/>
      <c r="K13" s="2"/>
    </row>
    <row r="14" spans="1:11" ht="47.25">
      <c r="A14" s="594" t="s">
        <v>549</v>
      </c>
      <c r="B14" s="589"/>
      <c r="C14" s="589"/>
      <c r="D14" s="595" t="s">
        <v>550</v>
      </c>
      <c r="E14" s="588"/>
      <c r="F14" s="595" t="s">
        <v>551</v>
      </c>
      <c r="G14" s="596" t="s">
        <v>552</v>
      </c>
      <c r="H14" s="597" t="s">
        <v>553</v>
      </c>
      <c r="I14" s="595" t="s">
        <v>554</v>
      </c>
      <c r="J14" s="598"/>
      <c r="K14" s="595" t="s">
        <v>555</v>
      </c>
    </row>
    <row r="15" spans="1:11" ht="15.75">
      <c r="A15" s="594" t="s">
        <v>556</v>
      </c>
      <c r="B15" s="589"/>
      <c r="C15" s="589"/>
      <c r="D15" s="2"/>
      <c r="E15" s="599"/>
      <c r="F15" s="1090">
        <v>4.0949999999999997E-3</v>
      </c>
      <c r="H15" s="2"/>
      <c r="I15" s="2"/>
      <c r="J15" s="2"/>
      <c r="K15" s="2"/>
    </row>
    <row r="16" spans="1:11" ht="15.75">
      <c r="A16" s="594"/>
      <c r="B16" s="589"/>
      <c r="C16" s="589"/>
      <c r="D16" s="2"/>
      <c r="E16" s="599"/>
      <c r="F16" s="599"/>
      <c r="G16" s="588"/>
      <c r="H16" s="2"/>
      <c r="I16" s="2"/>
      <c r="J16" s="2"/>
      <c r="K16" s="2"/>
    </row>
    <row r="17" spans="1:11" ht="15.75">
      <c r="A17" s="594" t="s">
        <v>1068</v>
      </c>
      <c r="B17" s="589"/>
      <c r="C17" s="589"/>
      <c r="D17" s="2"/>
      <c r="E17" s="599"/>
      <c r="F17" s="599"/>
      <c r="G17" s="588"/>
      <c r="H17" s="2"/>
      <c r="I17" s="2"/>
      <c r="J17" s="2"/>
      <c r="K17" s="2"/>
    </row>
    <row r="18" spans="1:11" ht="15.75">
      <c r="A18" s="600" t="s">
        <v>114</v>
      </c>
      <c r="B18" s="589"/>
      <c r="C18" s="589"/>
      <c r="D18" s="589"/>
      <c r="E18" s="589"/>
      <c r="F18" s="589" t="s">
        <v>114</v>
      </c>
      <c r="G18" s="2"/>
      <c r="H18" s="2"/>
      <c r="I18" s="2"/>
      <c r="J18" s="2"/>
      <c r="K18" s="2"/>
    </row>
    <row r="19" spans="1:11" ht="15.75">
      <c r="A19" s="601"/>
      <c r="B19" s="589"/>
      <c r="C19" s="589"/>
      <c r="D19" s="589"/>
      <c r="E19" s="589"/>
      <c r="F19" s="2"/>
      <c r="G19" s="2"/>
      <c r="H19" s="596"/>
      <c r="I19" s="589"/>
      <c r="J19" s="589"/>
      <c r="K19" s="589"/>
    </row>
    <row r="20" spans="1:11" ht="15.75">
      <c r="A20" s="601" t="s">
        <v>557</v>
      </c>
      <c r="B20" s="589"/>
      <c r="C20" s="589"/>
      <c r="D20" s="589"/>
      <c r="E20" s="589"/>
      <c r="F20" s="2"/>
      <c r="G20" s="2"/>
      <c r="H20" s="596" t="s">
        <v>558</v>
      </c>
      <c r="I20" s="589"/>
      <c r="J20" s="589"/>
      <c r="K20" s="589"/>
    </row>
    <row r="21" spans="1:11" ht="15.75">
      <c r="A21" s="578" t="s">
        <v>185</v>
      </c>
      <c r="B21" s="578" t="str">
        <f>"Year 2018"</f>
        <v>Year 2018</v>
      </c>
      <c r="C21" s="578"/>
      <c r="D21" s="602">
        <f>H10/12</f>
        <v>0</v>
      </c>
      <c r="E21" s="602"/>
      <c r="F21" s="603">
        <f>+F15</f>
        <v>4.0949999999999997E-3</v>
      </c>
      <c r="G21" s="578">
        <v>12</v>
      </c>
      <c r="H21" s="602">
        <f>F21*D21*G21*-1</f>
        <v>0</v>
      </c>
      <c r="I21" s="602"/>
      <c r="J21" s="602"/>
      <c r="K21" s="602">
        <f>(-H21+D21)*-1</f>
        <v>0</v>
      </c>
    </row>
    <row r="22" spans="1:11" ht="15.75">
      <c r="A22" s="578" t="s">
        <v>559</v>
      </c>
      <c r="B22" s="578" t="str">
        <f>B21</f>
        <v>Year 2018</v>
      </c>
      <c r="C22" s="578"/>
      <c r="D22" s="602">
        <f>+D21</f>
        <v>0</v>
      </c>
      <c r="E22" s="602"/>
      <c r="F22" s="603">
        <f>+F21</f>
        <v>4.0949999999999997E-3</v>
      </c>
      <c r="G22" s="578">
        <f t="shared" ref="G22:G32" si="0">+G21-1</f>
        <v>11</v>
      </c>
      <c r="H22" s="602">
        <f t="shared" ref="H22:H32" si="1">F22*D22*G22*-1</f>
        <v>0</v>
      </c>
      <c r="I22" s="602"/>
      <c r="J22" s="602"/>
      <c r="K22" s="602">
        <f t="shared" ref="K22:K32" si="2">(-H22+D22)*-1</f>
        <v>0</v>
      </c>
    </row>
    <row r="23" spans="1:11" ht="15.75">
      <c r="A23" s="578" t="s">
        <v>186</v>
      </c>
      <c r="B23" s="578" t="str">
        <f t="shared" ref="B23:B32" si="3">B22</f>
        <v>Year 2018</v>
      </c>
      <c r="C23" s="578"/>
      <c r="D23" s="602">
        <f t="shared" ref="D23:D32" si="4">+D22</f>
        <v>0</v>
      </c>
      <c r="E23" s="602"/>
      <c r="F23" s="603">
        <f t="shared" ref="F23:F32" si="5">+F22</f>
        <v>4.0949999999999997E-3</v>
      </c>
      <c r="G23" s="578">
        <f t="shared" si="0"/>
        <v>10</v>
      </c>
      <c r="H23" s="602">
        <f t="shared" si="1"/>
        <v>0</v>
      </c>
      <c r="I23" s="602"/>
      <c r="J23" s="602"/>
      <c r="K23" s="602">
        <f t="shared" si="2"/>
        <v>0</v>
      </c>
    </row>
    <row r="24" spans="1:11" ht="15.75">
      <c r="A24" s="578" t="s">
        <v>187</v>
      </c>
      <c r="B24" s="578" t="str">
        <f t="shared" si="3"/>
        <v>Year 2018</v>
      </c>
      <c r="C24" s="578"/>
      <c r="D24" s="602">
        <f t="shared" si="4"/>
        <v>0</v>
      </c>
      <c r="E24" s="602"/>
      <c r="F24" s="603">
        <f t="shared" si="5"/>
        <v>4.0949999999999997E-3</v>
      </c>
      <c r="G24" s="578">
        <f t="shared" si="0"/>
        <v>9</v>
      </c>
      <c r="H24" s="602">
        <f t="shared" si="1"/>
        <v>0</v>
      </c>
      <c r="I24" s="602"/>
      <c r="J24" s="602"/>
      <c r="K24" s="602">
        <f t="shared" si="2"/>
        <v>0</v>
      </c>
    </row>
    <row r="25" spans="1:11" ht="15.75">
      <c r="A25" s="578" t="s">
        <v>188</v>
      </c>
      <c r="B25" s="578" t="str">
        <f t="shared" si="3"/>
        <v>Year 2018</v>
      </c>
      <c r="C25" s="578"/>
      <c r="D25" s="602">
        <f t="shared" si="4"/>
        <v>0</v>
      </c>
      <c r="E25" s="602"/>
      <c r="F25" s="603">
        <f t="shared" si="5"/>
        <v>4.0949999999999997E-3</v>
      </c>
      <c r="G25" s="578">
        <f t="shared" si="0"/>
        <v>8</v>
      </c>
      <c r="H25" s="602">
        <f t="shared" si="1"/>
        <v>0</v>
      </c>
      <c r="I25" s="602"/>
      <c r="J25" s="602"/>
      <c r="K25" s="602">
        <f t="shared" si="2"/>
        <v>0</v>
      </c>
    </row>
    <row r="26" spans="1:11" ht="15.75">
      <c r="A26" s="578" t="s">
        <v>382</v>
      </c>
      <c r="B26" s="578" t="str">
        <f t="shared" si="3"/>
        <v>Year 2018</v>
      </c>
      <c r="C26" s="578"/>
      <c r="D26" s="602">
        <f t="shared" si="4"/>
        <v>0</v>
      </c>
      <c r="E26" s="602"/>
      <c r="F26" s="603">
        <f t="shared" si="5"/>
        <v>4.0949999999999997E-3</v>
      </c>
      <c r="G26" s="578">
        <f t="shared" si="0"/>
        <v>7</v>
      </c>
      <c r="H26" s="602">
        <f t="shared" si="1"/>
        <v>0</v>
      </c>
      <c r="I26" s="602"/>
      <c r="J26" s="602"/>
      <c r="K26" s="602">
        <f t="shared" si="2"/>
        <v>0</v>
      </c>
    </row>
    <row r="27" spans="1:11" ht="15.75">
      <c r="A27" s="578" t="s">
        <v>189</v>
      </c>
      <c r="B27" s="578" t="str">
        <f t="shared" si="3"/>
        <v>Year 2018</v>
      </c>
      <c r="C27" s="578"/>
      <c r="D27" s="602">
        <f t="shared" si="4"/>
        <v>0</v>
      </c>
      <c r="E27" s="602"/>
      <c r="F27" s="603">
        <f t="shared" si="5"/>
        <v>4.0949999999999997E-3</v>
      </c>
      <c r="G27" s="578">
        <f t="shared" si="0"/>
        <v>6</v>
      </c>
      <c r="H27" s="602">
        <f t="shared" si="1"/>
        <v>0</v>
      </c>
      <c r="I27" s="602"/>
      <c r="J27" s="602"/>
      <c r="K27" s="602">
        <f t="shared" si="2"/>
        <v>0</v>
      </c>
    </row>
    <row r="28" spans="1:11" ht="15.75">
      <c r="A28" s="578" t="s">
        <v>190</v>
      </c>
      <c r="B28" s="578" t="str">
        <f t="shared" si="3"/>
        <v>Year 2018</v>
      </c>
      <c r="C28" s="578"/>
      <c r="D28" s="602">
        <f t="shared" si="4"/>
        <v>0</v>
      </c>
      <c r="E28" s="602"/>
      <c r="F28" s="603">
        <f t="shared" si="5"/>
        <v>4.0949999999999997E-3</v>
      </c>
      <c r="G28" s="578">
        <f t="shared" si="0"/>
        <v>5</v>
      </c>
      <c r="H28" s="602">
        <f t="shared" si="1"/>
        <v>0</v>
      </c>
      <c r="I28" s="602"/>
      <c r="J28" s="602"/>
      <c r="K28" s="602">
        <f t="shared" si="2"/>
        <v>0</v>
      </c>
    </row>
    <row r="29" spans="1:11" ht="15.75">
      <c r="A29" s="578" t="s">
        <v>192</v>
      </c>
      <c r="B29" s="578" t="str">
        <f t="shared" si="3"/>
        <v>Year 2018</v>
      </c>
      <c r="C29" s="578"/>
      <c r="D29" s="602">
        <f t="shared" si="4"/>
        <v>0</v>
      </c>
      <c r="E29" s="602"/>
      <c r="F29" s="603">
        <f t="shared" si="5"/>
        <v>4.0949999999999997E-3</v>
      </c>
      <c r="G29" s="578">
        <f t="shared" si="0"/>
        <v>4</v>
      </c>
      <c r="H29" s="602">
        <f t="shared" si="1"/>
        <v>0</v>
      </c>
      <c r="I29" s="602"/>
      <c r="J29" s="602"/>
      <c r="K29" s="602">
        <f t="shared" si="2"/>
        <v>0</v>
      </c>
    </row>
    <row r="30" spans="1:11" ht="15.75">
      <c r="A30" s="578" t="s">
        <v>560</v>
      </c>
      <c r="B30" s="578" t="str">
        <f t="shared" si="3"/>
        <v>Year 2018</v>
      </c>
      <c r="C30" s="578"/>
      <c r="D30" s="602">
        <f t="shared" si="4"/>
        <v>0</v>
      </c>
      <c r="E30" s="602"/>
      <c r="F30" s="603">
        <f t="shared" si="5"/>
        <v>4.0949999999999997E-3</v>
      </c>
      <c r="G30" s="578">
        <f t="shared" si="0"/>
        <v>3</v>
      </c>
      <c r="H30" s="602">
        <f t="shared" si="1"/>
        <v>0</v>
      </c>
      <c r="I30" s="602"/>
      <c r="J30" s="602"/>
      <c r="K30" s="602">
        <f t="shared" si="2"/>
        <v>0</v>
      </c>
    </row>
    <row r="31" spans="1:11" ht="15.75">
      <c r="A31" s="578" t="s">
        <v>561</v>
      </c>
      <c r="B31" s="578" t="str">
        <f t="shared" si="3"/>
        <v>Year 2018</v>
      </c>
      <c r="C31" s="578"/>
      <c r="D31" s="602">
        <f t="shared" si="4"/>
        <v>0</v>
      </c>
      <c r="E31" s="602"/>
      <c r="F31" s="603">
        <f t="shared" si="5"/>
        <v>4.0949999999999997E-3</v>
      </c>
      <c r="G31" s="578">
        <f t="shared" si="0"/>
        <v>2</v>
      </c>
      <c r="H31" s="602">
        <f t="shared" si="1"/>
        <v>0</v>
      </c>
      <c r="I31" s="602"/>
      <c r="J31" s="602"/>
      <c r="K31" s="602">
        <f t="shared" si="2"/>
        <v>0</v>
      </c>
    </row>
    <row r="32" spans="1:11" ht="15.75">
      <c r="A32" s="578" t="s">
        <v>191</v>
      </c>
      <c r="B32" s="578" t="str">
        <f t="shared" si="3"/>
        <v>Year 2018</v>
      </c>
      <c r="C32" s="578"/>
      <c r="D32" s="602">
        <f t="shared" si="4"/>
        <v>0</v>
      </c>
      <c r="E32" s="602"/>
      <c r="F32" s="603">
        <f t="shared" si="5"/>
        <v>4.0949999999999997E-3</v>
      </c>
      <c r="G32" s="578">
        <f t="shared" si="0"/>
        <v>1</v>
      </c>
      <c r="H32" s="604">
        <f t="shared" si="1"/>
        <v>0</v>
      </c>
      <c r="I32" s="602"/>
      <c r="J32" s="602"/>
      <c r="K32" s="602">
        <f t="shared" si="2"/>
        <v>0</v>
      </c>
    </row>
    <row r="33" spans="1:11" ht="15.75">
      <c r="A33" s="578"/>
      <c r="B33" s="578"/>
      <c r="C33" s="578"/>
      <c r="D33" s="602"/>
      <c r="E33" s="602"/>
      <c r="F33" s="603"/>
      <c r="G33" s="578"/>
      <c r="H33" s="602">
        <f>SUM(H21:H32)</f>
        <v>0</v>
      </c>
      <c r="I33" s="602"/>
      <c r="J33" s="602"/>
      <c r="K33" s="605">
        <f>SUM(K21:K32)</f>
        <v>0</v>
      </c>
    </row>
    <row r="34" spans="1:11" ht="15.75">
      <c r="A34" s="578"/>
      <c r="B34" s="578"/>
      <c r="C34" s="578"/>
      <c r="D34" s="602"/>
      <c r="E34" s="602"/>
      <c r="F34" s="603"/>
      <c r="G34" s="578"/>
      <c r="H34" s="602"/>
      <c r="I34" s="602" t="s">
        <v>114</v>
      </c>
      <c r="J34" s="602"/>
      <c r="K34" s="2"/>
    </row>
    <row r="35" spans="1:11" ht="15.75">
      <c r="A35" s="578"/>
      <c r="B35" s="578"/>
      <c r="C35" s="578"/>
      <c r="D35" s="588"/>
      <c r="E35" s="588"/>
      <c r="F35" s="603"/>
      <c r="G35" s="578"/>
      <c r="H35" s="606" t="s">
        <v>562</v>
      </c>
      <c r="I35" s="602"/>
      <c r="J35" s="602"/>
      <c r="K35" s="602"/>
    </row>
    <row r="36" spans="1:11" ht="15.75">
      <c r="A36" s="578" t="s">
        <v>563</v>
      </c>
      <c r="B36" s="578" t="str">
        <f>"Year 2019"</f>
        <v>Year 2019</v>
      </c>
      <c r="C36" s="578"/>
      <c r="D36" s="588">
        <f>K33</f>
        <v>0</v>
      </c>
      <c r="E36" s="588"/>
      <c r="F36" s="603">
        <f>+F32</f>
        <v>4.0949999999999997E-3</v>
      </c>
      <c r="G36" s="578">
        <v>12</v>
      </c>
      <c r="H36" s="602">
        <f>+G36*F36*D36</f>
        <v>0</v>
      </c>
      <c r="I36" s="602"/>
      <c r="J36" s="602"/>
      <c r="K36" s="605">
        <f>+D36+H36</f>
        <v>0</v>
      </c>
    </row>
    <row r="37" spans="1:11" ht="15.75">
      <c r="A37" s="578"/>
      <c r="B37" s="578"/>
      <c r="C37" s="578"/>
      <c r="D37" s="588"/>
      <c r="E37" s="588"/>
      <c r="F37" s="603"/>
      <c r="G37" s="578"/>
      <c r="H37" s="602"/>
      <c r="I37" s="602"/>
      <c r="J37" s="602"/>
      <c r="K37" s="602"/>
    </row>
    <row r="38" spans="1:11" ht="15.75">
      <c r="A38" s="607" t="s">
        <v>564</v>
      </c>
      <c r="B38" s="578"/>
      <c r="C38" s="578"/>
      <c r="D38" s="602"/>
      <c r="E38" s="602"/>
      <c r="F38" s="603"/>
      <c r="G38" s="578"/>
      <c r="H38" s="606" t="s">
        <v>558</v>
      </c>
      <c r="I38" s="602"/>
      <c r="J38" s="602"/>
      <c r="K38" s="602"/>
    </row>
    <row r="39" spans="1:11" ht="15.75">
      <c r="A39" s="578" t="s">
        <v>185</v>
      </c>
      <c r="B39" s="578" t="str">
        <f>"Year 2020"</f>
        <v>Year 2020</v>
      </c>
      <c r="C39" s="578"/>
      <c r="D39" s="588">
        <f>-K36</f>
        <v>0</v>
      </c>
      <c r="E39" s="588"/>
      <c r="F39" s="603">
        <f>+F32</f>
        <v>4.0949999999999997E-3</v>
      </c>
      <c r="G39" s="578"/>
      <c r="H39" s="602">
        <f xml:space="preserve"> -F39*D39</f>
        <v>0</v>
      </c>
      <c r="I39" s="602">
        <f>PMT(F39,12,K$36)</f>
        <v>0</v>
      </c>
      <c r="J39" s="602"/>
      <c r="K39" s="602">
        <f>(+D39+D39*F39-I39)*-1</f>
        <v>0</v>
      </c>
    </row>
    <row r="40" spans="1:11" ht="15.75">
      <c r="A40" s="578" t="s">
        <v>559</v>
      </c>
      <c r="B40" s="578" t="str">
        <f>+B39</f>
        <v>Year 2020</v>
      </c>
      <c r="C40" s="578"/>
      <c r="D40" s="588">
        <f>-K39</f>
        <v>0</v>
      </c>
      <c r="E40" s="588"/>
      <c r="F40" s="603">
        <f>+F39</f>
        <v>4.0949999999999997E-3</v>
      </c>
      <c r="G40" s="578"/>
      <c r="H40" s="602">
        <f xml:space="preserve"> -F40*D40</f>
        <v>0</v>
      </c>
      <c r="I40" s="602">
        <f>I39</f>
        <v>0</v>
      </c>
      <c r="J40" s="602"/>
      <c r="K40" s="602">
        <f t="shared" ref="K40:K50" si="6">(+D40+D40*F40-I40)*-1</f>
        <v>0</v>
      </c>
    </row>
    <row r="41" spans="1:11" ht="15.75">
      <c r="A41" s="578" t="s">
        <v>186</v>
      </c>
      <c r="B41" s="578" t="str">
        <f>+B40</f>
        <v>Year 2020</v>
      </c>
      <c r="C41" s="578"/>
      <c r="D41" s="588">
        <f t="shared" ref="D41:D50" si="7">-K40</f>
        <v>0</v>
      </c>
      <c r="E41" s="588"/>
      <c r="F41" s="603">
        <f t="shared" ref="F41:F50" si="8">+F40</f>
        <v>4.0949999999999997E-3</v>
      </c>
      <c r="G41" s="578"/>
      <c r="H41" s="602">
        <f t="shared" ref="H41:H50" si="9" xml:space="preserve"> -F41*D41</f>
        <v>0</v>
      </c>
      <c r="I41" s="602">
        <f t="shared" ref="I41:I50" si="10">I40</f>
        <v>0</v>
      </c>
      <c r="J41" s="602"/>
      <c r="K41" s="602">
        <f t="shared" si="6"/>
        <v>0</v>
      </c>
    </row>
    <row r="42" spans="1:11" ht="15.75">
      <c r="A42" s="578" t="s">
        <v>187</v>
      </c>
      <c r="B42" s="578" t="str">
        <f>+B41</f>
        <v>Year 2020</v>
      </c>
      <c r="C42" s="578"/>
      <c r="D42" s="588">
        <f t="shared" si="7"/>
        <v>0</v>
      </c>
      <c r="E42" s="588"/>
      <c r="F42" s="603">
        <f t="shared" si="8"/>
        <v>4.0949999999999997E-3</v>
      </c>
      <c r="G42" s="578"/>
      <c r="H42" s="602">
        <f t="shared" si="9"/>
        <v>0</v>
      </c>
      <c r="I42" s="602">
        <f t="shared" si="10"/>
        <v>0</v>
      </c>
      <c r="J42" s="602"/>
      <c r="K42" s="602">
        <f t="shared" si="6"/>
        <v>0</v>
      </c>
    </row>
    <row r="43" spans="1:11" ht="15.75">
      <c r="A43" s="578" t="s">
        <v>188</v>
      </c>
      <c r="B43" s="578" t="str">
        <f>+B42</f>
        <v>Year 2020</v>
      </c>
      <c r="C43" s="578"/>
      <c r="D43" s="588">
        <f t="shared" si="7"/>
        <v>0</v>
      </c>
      <c r="E43" s="588"/>
      <c r="F43" s="603">
        <f t="shared" si="8"/>
        <v>4.0949999999999997E-3</v>
      </c>
      <c r="G43" s="578"/>
      <c r="H43" s="602">
        <f t="shared" si="9"/>
        <v>0</v>
      </c>
      <c r="I43" s="602">
        <f>I42</f>
        <v>0</v>
      </c>
      <c r="J43" s="602"/>
      <c r="K43" s="602">
        <f t="shared" si="6"/>
        <v>0</v>
      </c>
    </row>
    <row r="44" spans="1:11" ht="15.75">
      <c r="A44" s="578" t="s">
        <v>382</v>
      </c>
      <c r="B44" s="578" t="str">
        <f>B43</f>
        <v>Year 2020</v>
      </c>
      <c r="C44" s="2"/>
      <c r="D44" s="588">
        <f t="shared" si="7"/>
        <v>0</v>
      </c>
      <c r="E44" s="588"/>
      <c r="F44" s="603">
        <f t="shared" si="8"/>
        <v>4.0949999999999997E-3</v>
      </c>
      <c r="G44" s="578"/>
      <c r="H44" s="602">
        <f t="shared" si="9"/>
        <v>0</v>
      </c>
      <c r="I44" s="602">
        <f t="shared" si="10"/>
        <v>0</v>
      </c>
      <c r="J44" s="602"/>
      <c r="K44" s="602">
        <f t="shared" si="6"/>
        <v>0</v>
      </c>
    </row>
    <row r="45" spans="1:11" ht="15.75">
      <c r="A45" s="578" t="s">
        <v>189</v>
      </c>
      <c r="B45" s="578" t="str">
        <f t="shared" ref="B45:B50" si="11">+B44</f>
        <v>Year 2020</v>
      </c>
      <c r="C45" s="578"/>
      <c r="D45" s="588">
        <f t="shared" si="7"/>
        <v>0</v>
      </c>
      <c r="E45" s="588"/>
      <c r="F45" s="603">
        <f t="shared" si="8"/>
        <v>4.0949999999999997E-3</v>
      </c>
      <c r="G45" s="578"/>
      <c r="H45" s="602">
        <f t="shared" si="9"/>
        <v>0</v>
      </c>
      <c r="I45" s="602">
        <f t="shared" si="10"/>
        <v>0</v>
      </c>
      <c r="J45" s="602"/>
      <c r="K45" s="602">
        <f t="shared" si="6"/>
        <v>0</v>
      </c>
    </row>
    <row r="46" spans="1:11" ht="15.75">
      <c r="A46" s="578" t="s">
        <v>190</v>
      </c>
      <c r="B46" s="578" t="str">
        <f t="shared" si="11"/>
        <v>Year 2020</v>
      </c>
      <c r="C46" s="578"/>
      <c r="D46" s="588">
        <f t="shared" si="7"/>
        <v>0</v>
      </c>
      <c r="E46" s="588"/>
      <c r="F46" s="603">
        <f t="shared" si="8"/>
        <v>4.0949999999999997E-3</v>
      </c>
      <c r="G46" s="578"/>
      <c r="H46" s="602">
        <f t="shared" si="9"/>
        <v>0</v>
      </c>
      <c r="I46" s="602">
        <f t="shared" si="10"/>
        <v>0</v>
      </c>
      <c r="J46" s="602"/>
      <c r="K46" s="602">
        <f t="shared" si="6"/>
        <v>0</v>
      </c>
    </row>
    <row r="47" spans="1:11" ht="15.75">
      <c r="A47" s="578" t="s">
        <v>192</v>
      </c>
      <c r="B47" s="578" t="str">
        <f t="shared" si="11"/>
        <v>Year 2020</v>
      </c>
      <c r="C47" s="578"/>
      <c r="D47" s="588">
        <f t="shared" si="7"/>
        <v>0</v>
      </c>
      <c r="E47" s="588"/>
      <c r="F47" s="603">
        <f t="shared" si="8"/>
        <v>4.0949999999999997E-3</v>
      </c>
      <c r="G47" s="578"/>
      <c r="H47" s="602">
        <f t="shared" si="9"/>
        <v>0</v>
      </c>
      <c r="I47" s="602">
        <f>I46</f>
        <v>0</v>
      </c>
      <c r="J47" s="602"/>
      <c r="K47" s="602">
        <f t="shared" si="6"/>
        <v>0</v>
      </c>
    </row>
    <row r="48" spans="1:11" ht="15.75">
      <c r="A48" s="578" t="s">
        <v>560</v>
      </c>
      <c r="B48" s="578" t="str">
        <f t="shared" si="11"/>
        <v>Year 2020</v>
      </c>
      <c r="C48" s="578"/>
      <c r="D48" s="588">
        <f t="shared" si="7"/>
        <v>0</v>
      </c>
      <c r="E48" s="588"/>
      <c r="F48" s="603">
        <f t="shared" si="8"/>
        <v>4.0949999999999997E-3</v>
      </c>
      <c r="G48" s="578"/>
      <c r="H48" s="602">
        <f t="shared" si="9"/>
        <v>0</v>
      </c>
      <c r="I48" s="602">
        <f t="shared" si="10"/>
        <v>0</v>
      </c>
      <c r="J48" s="602"/>
      <c r="K48" s="602">
        <f t="shared" si="6"/>
        <v>0</v>
      </c>
    </row>
    <row r="49" spans="1:11" ht="15.75">
      <c r="A49" s="578" t="s">
        <v>561</v>
      </c>
      <c r="B49" s="578" t="str">
        <f t="shared" si="11"/>
        <v>Year 2020</v>
      </c>
      <c r="C49" s="578"/>
      <c r="D49" s="588">
        <f t="shared" si="7"/>
        <v>0</v>
      </c>
      <c r="E49" s="588"/>
      <c r="F49" s="603">
        <f t="shared" si="8"/>
        <v>4.0949999999999997E-3</v>
      </c>
      <c r="G49" s="578"/>
      <c r="H49" s="602">
        <f t="shared" si="9"/>
        <v>0</v>
      </c>
      <c r="I49" s="602">
        <f t="shared" si="10"/>
        <v>0</v>
      </c>
      <c r="J49" s="602"/>
      <c r="K49" s="602">
        <f t="shared" si="6"/>
        <v>0</v>
      </c>
    </row>
    <row r="50" spans="1:11" ht="15.75">
      <c r="A50" s="578" t="s">
        <v>191</v>
      </c>
      <c r="B50" s="578" t="str">
        <f t="shared" si="11"/>
        <v>Year 2020</v>
      </c>
      <c r="C50" s="578"/>
      <c r="D50" s="588">
        <f t="shared" si="7"/>
        <v>0</v>
      </c>
      <c r="E50" s="588"/>
      <c r="F50" s="603">
        <f t="shared" si="8"/>
        <v>4.0949999999999997E-3</v>
      </c>
      <c r="G50" s="578"/>
      <c r="H50" s="604">
        <f t="shared" si="9"/>
        <v>0</v>
      </c>
      <c r="I50" s="602">
        <f t="shared" si="10"/>
        <v>0</v>
      </c>
      <c r="J50" s="602"/>
      <c r="K50" s="602">
        <f t="shared" si="6"/>
        <v>0</v>
      </c>
    </row>
    <row r="51" spans="1:11" ht="15.75">
      <c r="A51" s="578"/>
      <c r="B51" s="578"/>
      <c r="C51" s="578"/>
      <c r="D51" s="588"/>
      <c r="E51" s="588"/>
      <c r="F51" s="603"/>
      <c r="G51" s="578"/>
      <c r="H51" s="602">
        <f>SUM(H39:H50)</f>
        <v>0</v>
      </c>
      <c r="I51" s="602"/>
      <c r="J51" s="602"/>
      <c r="K51" s="602"/>
    </row>
    <row r="52" spans="1:11" ht="15">
      <c r="A52" s="2"/>
      <c r="B52" s="2"/>
      <c r="C52" s="2"/>
      <c r="D52" s="2"/>
      <c r="E52" s="2"/>
      <c r="F52" s="2"/>
      <c r="G52" s="2"/>
      <c r="H52" s="2"/>
      <c r="I52" s="608"/>
      <c r="J52" s="2"/>
      <c r="K52" s="2"/>
    </row>
    <row r="53" spans="1:11" ht="15.75">
      <c r="A53" s="578" t="s">
        <v>569</v>
      </c>
      <c r="B53" s="2"/>
      <c r="C53" s="2"/>
      <c r="D53" s="2"/>
      <c r="E53" s="2"/>
      <c r="F53" s="2"/>
      <c r="G53" s="2"/>
      <c r="H53" s="2"/>
      <c r="I53" s="609">
        <f>(SUM(I39:I50)*-1)</f>
        <v>0</v>
      </c>
      <c r="J53" s="2"/>
      <c r="K53" s="2"/>
    </row>
    <row r="54" spans="1:11" ht="15.75">
      <c r="A54" s="578" t="s">
        <v>565</v>
      </c>
      <c r="B54" s="2"/>
      <c r="C54" s="2"/>
      <c r="D54" s="2"/>
      <c r="E54" s="2"/>
      <c r="F54" s="2"/>
      <c r="G54" s="2"/>
      <c r="H54" s="2"/>
      <c r="I54" s="610">
        <f>+H10</f>
        <v>0</v>
      </c>
      <c r="J54" s="2"/>
      <c r="K54" s="2"/>
    </row>
    <row r="55" spans="1:11" ht="15.75">
      <c r="A55" s="578" t="s">
        <v>566</v>
      </c>
      <c r="B55" s="2"/>
      <c r="C55" s="2"/>
      <c r="D55" s="2"/>
      <c r="E55" s="2"/>
      <c r="F55" s="2"/>
      <c r="G55" s="2"/>
      <c r="H55" s="2"/>
      <c r="I55" s="609">
        <f>(I53+I54)</f>
        <v>0</v>
      </c>
      <c r="J55" s="2"/>
      <c r="K55" s="2"/>
    </row>
    <row r="57" spans="1:11" ht="126.75" customHeight="1">
      <c r="A57" s="1348" t="s">
        <v>570</v>
      </c>
      <c r="B57" s="1348"/>
      <c r="C57" s="1348"/>
      <c r="D57" s="1348"/>
      <c r="E57" s="136"/>
      <c r="F57" s="136"/>
      <c r="G57" s="136"/>
      <c r="H57" s="136"/>
      <c r="I57" s="136"/>
      <c r="J57" s="136"/>
      <c r="K57" s="136"/>
    </row>
  </sheetData>
  <mergeCells count="5">
    <mergeCell ref="A3:K3"/>
    <mergeCell ref="A1:K1"/>
    <mergeCell ref="A2:K2"/>
    <mergeCell ref="D4:G4"/>
    <mergeCell ref="A57:D57"/>
  </mergeCells>
  <pageMargins left="0.7" right="0.7" top="0.75" bottom="0.75" header="0.3" footer="0.3"/>
  <pageSetup scale="5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autoPageBreaks="0" fitToPage="1"/>
  </sheetPr>
  <dimension ref="A1:Q223"/>
  <sheetViews>
    <sheetView tabSelected="1" topLeftCell="A14" zoomScale="75" zoomScaleNormal="100" zoomScaleSheetLayoutView="100" workbookViewId="0">
      <selection activeCell="F7" sqref="F7"/>
    </sheetView>
  </sheetViews>
  <sheetFormatPr defaultColWidth="9.140625" defaultRowHeight="12.75"/>
  <cols>
    <col min="1" max="1" width="9.140625" style="15"/>
    <col min="2" max="2" width="0.85546875" style="24" customWidth="1"/>
    <col min="3" max="3" width="41.5703125" style="15" customWidth="1"/>
    <col min="4" max="4" width="34.42578125" style="15" bestFit="1" customWidth="1"/>
    <col min="5" max="5" width="23.140625" style="15" customWidth="1"/>
    <col min="6" max="6" width="3.140625" style="15" customWidth="1"/>
    <col min="7" max="7" width="24.5703125" style="15" customWidth="1"/>
    <col min="8" max="8" width="2.85546875" style="15" customWidth="1"/>
    <col min="9" max="9" width="20.85546875" style="15" customWidth="1"/>
    <col min="10" max="10" width="4.5703125" style="15" customWidth="1"/>
    <col min="11" max="11" width="18" style="15" bestFit="1" customWidth="1"/>
    <col min="12" max="12" width="20.42578125" style="15" customWidth="1"/>
    <col min="13" max="15" width="9.140625" style="15"/>
    <col min="16" max="16" width="10" style="15" bestFit="1" customWidth="1"/>
    <col min="17" max="17" width="17.5703125" style="15" customWidth="1"/>
    <col min="18" max="18" width="15.5703125" style="15" bestFit="1" customWidth="1"/>
    <col min="19" max="16384" width="9.140625" style="15"/>
  </cols>
  <sheetData>
    <row r="1" spans="1:15" ht="15.75">
      <c r="A1" s="665" t="s">
        <v>114</v>
      </c>
    </row>
    <row r="2" spans="1:15" ht="15.75">
      <c r="A2" s="665" t="s">
        <v>114</v>
      </c>
    </row>
    <row r="3" spans="1:15" ht="15">
      <c r="A3" s="1257" t="s">
        <v>387</v>
      </c>
      <c r="B3" s="1257"/>
      <c r="C3" s="1257"/>
      <c r="D3" s="1257"/>
      <c r="E3" s="1257"/>
      <c r="F3" s="1257"/>
      <c r="G3" s="1257"/>
      <c r="H3" s="1257"/>
      <c r="I3" s="1257"/>
      <c r="J3" s="28"/>
      <c r="K3" s="28"/>
    </row>
    <row r="4" spans="1:15" ht="15">
      <c r="A4" s="1258" t="str">
        <f>"Cost of Service Formula Rate Using Actual/Projected FF1 Balances"</f>
        <v>Cost of Service Formula Rate Using Actual/Projected FF1 Balances</v>
      </c>
      <c r="B4" s="1258"/>
      <c r="C4" s="1258"/>
      <c r="D4" s="1258"/>
      <c r="E4" s="1258"/>
      <c r="F4" s="1258"/>
      <c r="G4" s="1258"/>
      <c r="H4" s="1258"/>
      <c r="I4" s="1258"/>
      <c r="J4" s="74"/>
      <c r="K4" s="74"/>
    </row>
    <row r="5" spans="1:15" ht="15">
      <c r="A5" s="1258" t="s">
        <v>471</v>
      </c>
      <c r="B5" s="1258"/>
      <c r="C5" s="1258"/>
      <c r="D5" s="1258"/>
      <c r="E5" s="1258"/>
      <c r="F5" s="1258"/>
      <c r="G5" s="1258"/>
      <c r="H5" s="1258"/>
      <c r="I5" s="1258"/>
      <c r="J5" s="73"/>
      <c r="K5" s="73"/>
    </row>
    <row r="6" spans="1:15" ht="15">
      <c r="A6" s="1263" t="str">
        <f>TCOS!F9</f>
        <v>Appalachian Power Company</v>
      </c>
      <c r="B6" s="1263"/>
      <c r="C6" s="1263"/>
      <c r="D6" s="1263"/>
      <c r="E6" s="1263"/>
      <c r="F6" s="1263"/>
      <c r="G6" s="1263"/>
      <c r="H6" s="1263"/>
      <c r="I6" s="1263"/>
      <c r="J6" s="3"/>
      <c r="K6" s="3"/>
      <c r="L6"/>
      <c r="M6"/>
    </row>
    <row r="7" spans="1:15">
      <c r="C7" s="22"/>
      <c r="D7" s="22"/>
    </row>
    <row r="8" spans="1:15">
      <c r="C8" s="5" t="s">
        <v>162</v>
      </c>
      <c r="D8" s="5" t="s">
        <v>163</v>
      </c>
      <c r="E8" s="5" t="s">
        <v>164</v>
      </c>
      <c r="G8" s="5" t="s">
        <v>165</v>
      </c>
      <c r="I8" s="5" t="s">
        <v>84</v>
      </c>
      <c r="J8" s="5"/>
      <c r="K8" s="5"/>
      <c r="L8" s="5"/>
      <c r="M8"/>
      <c r="N8"/>
      <c r="O8"/>
    </row>
    <row r="9" spans="1:15">
      <c r="A9" s="72"/>
      <c r="I9" s="10"/>
      <c r="J9"/>
      <c r="K9"/>
      <c r="L9"/>
      <c r="M9"/>
      <c r="N9"/>
      <c r="O9"/>
    </row>
    <row r="10" spans="1:15" ht="12.75" customHeight="1">
      <c r="A10" s="9" t="s">
        <v>169</v>
      </c>
      <c r="C10" s="23"/>
      <c r="D10" s="23"/>
      <c r="E10" s="1261" t="str">
        <f>"Balance @ December 31, "&amp;TCOS!L4&amp;""</f>
        <v>Balance @ December 31, 2025</v>
      </c>
      <c r="F10" s="107"/>
      <c r="G10" s="1261" t="str">
        <f>"Balance @ December 31, "&amp;TCOS!L4-1&amp;""</f>
        <v>Balance @ December 31, 2024</v>
      </c>
      <c r="H10" s="107"/>
      <c r="I10" s="1264" t="str">
        <f>"Average Balance for "&amp;TCOS!L4&amp;""</f>
        <v>Average Balance for 2025</v>
      </c>
      <c r="J10"/>
      <c r="K10"/>
      <c r="L10"/>
      <c r="M10"/>
      <c r="N10"/>
      <c r="O10"/>
    </row>
    <row r="11" spans="1:15">
      <c r="A11" s="9" t="s">
        <v>106</v>
      </c>
      <c r="B11" s="8"/>
      <c r="C11" s="9" t="s">
        <v>167</v>
      </c>
      <c r="D11" s="9" t="s">
        <v>206</v>
      </c>
      <c r="E11" s="1262"/>
      <c r="F11" s="67"/>
      <c r="G11" s="1262"/>
      <c r="H11" s="185"/>
      <c r="I11" s="1262"/>
      <c r="J11"/>
      <c r="K11"/>
      <c r="L11"/>
      <c r="M11"/>
      <c r="N11"/>
      <c r="O11"/>
    </row>
    <row r="12" spans="1:15">
      <c r="A12" s="72"/>
      <c r="C12" s="22"/>
      <c r="D12" s="22"/>
      <c r="G12" s="196"/>
    </row>
    <row r="13" spans="1:15">
      <c r="A13" s="72"/>
      <c r="C13" s="22"/>
      <c r="D13" s="22"/>
    </row>
    <row r="14" spans="1:15">
      <c r="A14" s="72"/>
      <c r="C14" s="22"/>
      <c r="D14" s="22"/>
    </row>
    <row r="15" spans="1:15" ht="15.75">
      <c r="A15" s="72">
        <v>1</v>
      </c>
      <c r="C15" s="40" t="s">
        <v>509</v>
      </c>
      <c r="D15" s="40"/>
    </row>
    <row r="16" spans="1:15" ht="15.75">
      <c r="A16" s="72"/>
      <c r="C16" s="40"/>
      <c r="D16" s="40"/>
      <c r="H16"/>
    </row>
    <row r="17" spans="1:17">
      <c r="A17" s="72">
        <f>+A15+1</f>
        <v>2</v>
      </c>
      <c r="C17" s="48" t="s">
        <v>515</v>
      </c>
      <c r="D17" s="66" t="s">
        <v>517</v>
      </c>
      <c r="E17" s="621">
        <f>SUM('WS B-1 - Actual Stmt. AF'!Q23:S23)</f>
        <v>182509445.53</v>
      </c>
      <c r="G17" s="621">
        <f>SUM('WS B-1 - Actual Stmt. AF'!M23:O23)</f>
        <v>194459091.69999999</v>
      </c>
      <c r="H17"/>
      <c r="I17" s="104">
        <f>IF(G17="",0,(E17+G17)/2)</f>
        <v>188484268.61500001</v>
      </c>
    </row>
    <row r="18" spans="1:17">
      <c r="A18" s="72">
        <f>+A17+1</f>
        <v>3</v>
      </c>
      <c r="C18" s="48" t="s">
        <v>519</v>
      </c>
      <c r="D18" s="72" t="str">
        <f>"WS B-1 - Actual Stmt. AF Ln. " &amp;'WS B-1 - Actual Stmt. AF'!A24&amp;" (Note 1)"</f>
        <v>WS B-1 - Actual Stmt. AF Ln. 4 (Note 1)</v>
      </c>
      <c r="E18" s="621">
        <f>SUM('WS B-1 - Actual Stmt. AF'!Q24:S24)</f>
        <v>0</v>
      </c>
      <c r="G18" s="621">
        <f>SUM('WS B-1 - Actual Stmt. AF'!M24:O24)</f>
        <v>0</v>
      </c>
      <c r="H18"/>
      <c r="I18" s="104">
        <f>IF(G18="",0,(E18+G18)/2)</f>
        <v>0</v>
      </c>
    </row>
    <row r="19" spans="1:17" ht="15">
      <c r="A19" s="72">
        <f>+A18+1</f>
        <v>4</v>
      </c>
      <c r="C19" s="48" t="s">
        <v>520</v>
      </c>
      <c r="D19" s="72" t="str">
        <f>"WS B-1 - Actual Stmt. AF Ln. " &amp;'WS B-1 - Actual Stmt. AF'!A23&amp;" (Note 1)"</f>
        <v>WS B-1 - Actual Stmt. AF Ln. 3 (Note 1)</v>
      </c>
      <c r="E19" s="622">
        <f>SUM('WS B-1 - Actual Stmt. AF'!Q23:S23)-SUM('WS B-1 - Actual Stmt. AF'!Q24:S24)</f>
        <v>182509445.53</v>
      </c>
      <c r="G19" s="622">
        <f>SUM('WS B-1 - Actual Stmt. AF'!M23:O23)-SUM('WS B-1 - Actual Stmt. AF'!M24:O24)</f>
        <v>194459091.69999999</v>
      </c>
      <c r="I19" s="173">
        <f>IF(G19="",0,(E19+G19)/2)</f>
        <v>188484268.61500001</v>
      </c>
    </row>
    <row r="20" spans="1:17">
      <c r="A20" s="72">
        <f>+A19+1</f>
        <v>5</v>
      </c>
      <c r="C20" s="48" t="s">
        <v>516</v>
      </c>
      <c r="D20" s="108" t="str">
        <f>"Ln "&amp;A17&amp;" - ln "&amp;A18&amp;" - ln "&amp;A19&amp;""</f>
        <v>Ln 2 - ln 3 - ln 4</v>
      </c>
      <c r="E20" s="16">
        <f>+E17-E18-E19</f>
        <v>0</v>
      </c>
      <c r="G20" s="16">
        <f>+G17-G18-G19</f>
        <v>0</v>
      </c>
      <c r="I20" s="104">
        <f>+I17-I18-I19</f>
        <v>0</v>
      </c>
    </row>
    <row r="21" spans="1:17">
      <c r="A21" s="72"/>
      <c r="C21" s="48"/>
      <c r="D21" s="108"/>
    </row>
    <row r="22" spans="1:17">
      <c r="A22" s="72"/>
      <c r="C22" s="48"/>
      <c r="D22" s="108"/>
      <c r="K22" s="16"/>
      <c r="L22" s="16"/>
      <c r="M22" s="16"/>
      <c r="N22" s="16"/>
      <c r="O22" s="16"/>
    </row>
    <row r="23" spans="1:17" ht="15.75">
      <c r="A23" s="72">
        <f>+A20+1</f>
        <v>6</v>
      </c>
      <c r="C23" s="40" t="s">
        <v>510</v>
      </c>
      <c r="D23" s="108"/>
      <c r="K23" s="16"/>
      <c r="L23" s="16"/>
      <c r="M23" s="16"/>
      <c r="N23" s="16"/>
      <c r="O23" s="16"/>
    </row>
    <row r="24" spans="1:17">
      <c r="A24" s="72"/>
      <c r="C24" s="48"/>
      <c r="D24" s="108"/>
      <c r="K24" s="16"/>
      <c r="L24" s="16"/>
      <c r="M24" s="16"/>
      <c r="N24" s="16"/>
      <c r="O24" s="16"/>
    </row>
    <row r="25" spans="1:17">
      <c r="A25" s="72">
        <f>+A23+1</f>
        <v>7</v>
      </c>
      <c r="C25" s="48" t="s">
        <v>515</v>
      </c>
      <c r="D25" s="66" t="s">
        <v>449</v>
      </c>
      <c r="E25" s="820">
        <f>SUM('WS B-1 - Actual Stmt. AF'!Q61:S61)-'WS B-1 - Actual Stmt. AF'!D51</f>
        <v>1919592771.49</v>
      </c>
      <c r="G25" s="621">
        <f>SUM('WS B-1 - Actual Stmt. AF'!M61:O61)-'WS B-1 - Actual Stmt. AF'!C51</f>
        <v>1811812577.22</v>
      </c>
      <c r="H25"/>
      <c r="I25" s="104">
        <f>IF(G25="",0,(E25+G25)/2)</f>
        <v>1865702674.355</v>
      </c>
      <c r="K25" s="16"/>
      <c r="L25" s="16"/>
      <c r="M25" s="16"/>
      <c r="N25" s="16"/>
      <c r="O25" s="16"/>
    </row>
    <row r="26" spans="1:17">
      <c r="A26" s="72">
        <f>+A25+1</f>
        <v>8</v>
      </c>
      <c r="C26" s="48" t="s">
        <v>519</v>
      </c>
      <c r="D26" s="72" t="str">
        <f>"WS B-1 - Actual Stmt. AF Ln. " &amp;'WS B-1 - Actual Stmt. AF'!A62&amp;" (Note 1)"</f>
        <v>WS B-1 - Actual Stmt. AF Ln. 7 (Note 1)</v>
      </c>
      <c r="E26" s="820">
        <f>'WS B-1 - Actual Stmt. AF'!D62</f>
        <v>38981288.630000003</v>
      </c>
      <c r="G26" s="621">
        <f>'WS B-1 - Actual Stmt. AF'!C62</f>
        <v>36366780.229999997</v>
      </c>
      <c r="H26"/>
      <c r="I26" s="104">
        <f>IF(G26="",0,(E26+G26)/2)</f>
        <v>37674034.43</v>
      </c>
      <c r="K26" s="16"/>
      <c r="L26" s="16"/>
      <c r="M26" s="16"/>
      <c r="N26" s="16"/>
      <c r="O26" s="16"/>
    </row>
    <row r="27" spans="1:17" ht="15">
      <c r="A27" s="72">
        <f>+A26+1</f>
        <v>9</v>
      </c>
      <c r="C27" s="48" t="s">
        <v>520</v>
      </c>
      <c r="D27" s="72" t="str">
        <f>"WS B-1 - Actual Stmt. AF Ln. " &amp;'WS B-1 - Actual Stmt. AF'!A61&amp;" (Note 1)"</f>
        <v>WS B-1 - Actual Stmt. AF Ln. 6 (Note 1)</v>
      </c>
      <c r="E27" s="663">
        <f>('WS B-1 - Actual Stmt. AF'!Q61+'WS B-1 - Actual Stmt. AF'!S61)-('WS B-1 - Actual Stmt. AF'!Q62+'WS B-1 - Actual Stmt. AF'!S62)-'WS B-1 - Actual Stmt. AF'!D51</f>
        <v>1229383195.03</v>
      </c>
      <c r="G27" s="622">
        <f>('WS B-1 - Actual Stmt. AF'!M61+'WS B-1 - Actual Stmt. AF'!O61)-('WS B-1 - Actual Stmt. AF'!M62+'WS B-1 - Actual Stmt. AF'!O62)-'WS B-1 - Actual Stmt. AF'!C51</f>
        <v>1172073532.7862225</v>
      </c>
      <c r="I27" s="173">
        <f>IF(G27="",0,(E27+G27)/2)</f>
        <v>1200728363.9081111</v>
      </c>
      <c r="K27" s="16"/>
      <c r="L27" s="16"/>
      <c r="M27" s="16"/>
      <c r="N27" s="16"/>
      <c r="O27" s="16"/>
    </row>
    <row r="28" spans="1:17">
      <c r="A28" s="72">
        <f>+A27+1</f>
        <v>10</v>
      </c>
      <c r="C28" s="48" t="s">
        <v>516</v>
      </c>
      <c r="D28" s="108" t="str">
        <f>"Ln "&amp;A25&amp;" - ln "&amp;A26&amp;" - ln "&amp;A27&amp;""</f>
        <v>Ln 7 - ln 8 - ln 9</v>
      </c>
      <c r="E28" s="16">
        <f>+E25-E26-E27</f>
        <v>651228287.82999992</v>
      </c>
      <c r="G28" s="16">
        <f>+G25-G26-G27</f>
        <v>603372264.20377755</v>
      </c>
      <c r="I28" s="104">
        <f>+I25-I26-I27</f>
        <v>627300276.01688886</v>
      </c>
      <c r="K28" s="16"/>
      <c r="L28" s="16"/>
      <c r="M28" s="16"/>
      <c r="N28" s="16"/>
      <c r="O28" s="16"/>
    </row>
    <row r="29" spans="1:17">
      <c r="A29" s="72"/>
      <c r="C29" s="48"/>
      <c r="D29" s="108"/>
      <c r="K29" s="16"/>
      <c r="L29" s="16"/>
      <c r="M29" s="16"/>
      <c r="N29" s="16"/>
      <c r="O29" s="16"/>
      <c r="P29" s="16"/>
      <c r="Q29" s="16"/>
    </row>
    <row r="30" spans="1:17">
      <c r="A30" s="72"/>
      <c r="C30" s="48"/>
      <c r="D30" s="108"/>
      <c r="E30" s="16"/>
      <c r="G30" s="16"/>
      <c r="K30" s="16"/>
      <c r="L30" s="16"/>
      <c r="M30" s="16"/>
      <c r="N30" s="16"/>
      <c r="O30" s="16"/>
      <c r="P30" s="16"/>
      <c r="Q30" s="16"/>
    </row>
    <row r="31" spans="1:17" ht="15.75">
      <c r="A31" s="72">
        <f>+A28+1</f>
        <v>11</v>
      </c>
      <c r="C31" s="40" t="s">
        <v>511</v>
      </c>
      <c r="D31" s="108"/>
      <c r="K31" s="16"/>
      <c r="L31" s="16"/>
      <c r="M31" s="16"/>
      <c r="N31" s="16"/>
      <c r="O31" s="16"/>
      <c r="P31" s="16"/>
      <c r="Q31" s="16"/>
    </row>
    <row r="32" spans="1:17" ht="15.75">
      <c r="A32" s="72"/>
      <c r="C32" s="40"/>
      <c r="D32" s="108"/>
      <c r="K32" s="16"/>
      <c r="L32" s="16"/>
      <c r="M32" s="16"/>
      <c r="N32" s="16"/>
      <c r="O32" s="16"/>
      <c r="P32" s="16"/>
      <c r="Q32" s="16"/>
    </row>
    <row r="33" spans="1:17">
      <c r="A33" s="72">
        <f>+A31+1</f>
        <v>12</v>
      </c>
      <c r="C33" s="48" t="s">
        <v>515</v>
      </c>
      <c r="D33" s="66" t="s">
        <v>518</v>
      </c>
      <c r="E33" s="662">
        <f>SUM('WS B-1 - Actual Stmt. AF'!Q192:S192)-'WS B-1 - Actual Stmt. AF'!D172</f>
        <v>457204667.6099999</v>
      </c>
      <c r="G33" s="621">
        <f>SUM('WS B-1 - Actual Stmt. AF'!M192:O192)-'WS B-1 - Actual Stmt. AF'!C172</f>
        <v>433828318.25999999</v>
      </c>
      <c r="H33"/>
      <c r="I33" s="104">
        <f>IF(G33="",0,(E33+G33)/2)</f>
        <v>445516492.93499994</v>
      </c>
      <c r="K33" s="16"/>
      <c r="L33" s="16"/>
      <c r="M33" s="16"/>
      <c r="N33" s="16"/>
      <c r="O33" s="16"/>
      <c r="P33" s="16"/>
      <c r="Q33" s="16"/>
    </row>
    <row r="34" spans="1:17">
      <c r="A34" s="72">
        <f>+A33+1</f>
        <v>13</v>
      </c>
      <c r="C34" s="48" t="s">
        <v>519</v>
      </c>
      <c r="D34" s="72" t="str">
        <f>"WS B-1 - Actual Stmt. AF Ln. " &amp;'WS B-1 - Actual Stmt. AF'!A193&amp;" (Note 1)"</f>
        <v>WS B-1 - Actual Stmt. AF Ln. 13 (Note 1)</v>
      </c>
      <c r="E34" s="662">
        <f>SUM('WS B-1 - Actual Stmt. AF'!Q193:S193)</f>
        <v>120411299.23999999</v>
      </c>
      <c r="G34" s="621">
        <f>SUM('WS B-1 - Actual Stmt. AF'!M193:O193)</f>
        <v>123834306.03</v>
      </c>
      <c r="H34"/>
      <c r="I34" s="104">
        <f>IF(G34="",0,(E34+G34)/2)</f>
        <v>122122802.63499999</v>
      </c>
      <c r="K34" s="791"/>
      <c r="L34" s="791"/>
      <c r="M34" s="791"/>
      <c r="N34" s="791"/>
      <c r="O34" s="791"/>
    </row>
    <row r="35" spans="1:17" ht="15">
      <c r="A35" s="72">
        <f>+A34+1</f>
        <v>14</v>
      </c>
      <c r="C35" s="48" t="s">
        <v>520</v>
      </c>
      <c r="D35" s="72" t="str">
        <f>"WS B-1 - Actual Stmt. AF Ln. " &amp;'WS B-1 - Actual Stmt. AF'!A192&amp;" (Note 1)"</f>
        <v>WS B-1 - Actual Stmt. AF Ln. 12 (Note 1)</v>
      </c>
      <c r="E35" s="663">
        <f>('WS B-1 - Actual Stmt. AF'!Q192+'WS B-1 - Actual Stmt. AF'!S192)-('WS B-1 - Actual Stmt. AF'!Q193+'WS B-1 - Actual Stmt. AF'!S193)-'WS B-1 - Actual Stmt. AF'!D172</f>
        <v>292657102.54999989</v>
      </c>
      <c r="G35" s="622">
        <f>('WS B-1 - Actual Stmt. AF'!M192+'WS B-1 - Actual Stmt. AF'!O192)-('WS B-1 - Actual Stmt. AF'!M193+'WS B-1 - Actual Stmt. AF'!O193)-'WS B-1 - Actual Stmt. AF'!C172</f>
        <v>275366347.73000002</v>
      </c>
      <c r="I35" s="173">
        <f>IF(G35="",0,(E35+G35)/2)</f>
        <v>284011725.13999999</v>
      </c>
    </row>
    <row r="36" spans="1:17">
      <c r="A36" s="72">
        <f>+A35+1</f>
        <v>15</v>
      </c>
      <c r="C36" s="48" t="s">
        <v>516</v>
      </c>
      <c r="D36" s="108" t="str">
        <f>"Ln "&amp;A33&amp;" - ln "&amp;A34&amp;" - ln "&amp;A35&amp;""</f>
        <v>Ln 12 - ln 13 - ln 14</v>
      </c>
      <c r="E36" s="16">
        <f>+E33-E34-E35</f>
        <v>44136265.819999993</v>
      </c>
      <c r="G36" s="16">
        <f>+G33-G34-G35</f>
        <v>34627664.5</v>
      </c>
      <c r="I36" s="104">
        <f>+I33-I34-I35</f>
        <v>39381965.159999967</v>
      </c>
    </row>
    <row r="37" spans="1:17" ht="15.75">
      <c r="A37" s="72"/>
      <c r="C37" s="40"/>
      <c r="D37" s="108"/>
      <c r="K37" s="16"/>
      <c r="L37" s="16"/>
      <c r="M37" s="16"/>
      <c r="N37" s="16"/>
      <c r="O37" s="16"/>
      <c r="P37" s="16"/>
    </row>
    <row r="38" spans="1:17">
      <c r="A38" s="72"/>
      <c r="C38" s="48"/>
      <c r="D38" s="108"/>
      <c r="K38" s="16"/>
      <c r="L38" s="16"/>
      <c r="M38" s="16"/>
      <c r="N38" s="16"/>
      <c r="O38" s="16"/>
      <c r="P38" s="16"/>
    </row>
    <row r="39" spans="1:17" ht="15.75">
      <c r="A39" s="72">
        <f>+A36+1</f>
        <v>16</v>
      </c>
      <c r="C39" s="40" t="s">
        <v>512</v>
      </c>
      <c r="D39" s="108"/>
      <c r="K39" s="16"/>
      <c r="L39" s="16"/>
      <c r="M39" s="16"/>
      <c r="N39" s="16"/>
      <c r="O39" s="16"/>
      <c r="P39" s="16"/>
    </row>
    <row r="40" spans="1:17">
      <c r="A40" s="72"/>
      <c r="C40" s="48"/>
      <c r="D40" s="108"/>
      <c r="K40" s="16"/>
      <c r="L40" s="16"/>
      <c r="M40" s="16"/>
      <c r="N40" s="16"/>
      <c r="O40" s="16"/>
      <c r="P40" s="16"/>
    </row>
    <row r="41" spans="1:17">
      <c r="A41" s="72">
        <f>+A39+1</f>
        <v>17</v>
      </c>
      <c r="C41" s="48" t="s">
        <v>515</v>
      </c>
      <c r="D41" s="66" t="s">
        <v>514</v>
      </c>
      <c r="E41" s="662">
        <f>SUM('WS B-2 - Actual Stmt. AG'!Q95:S95)-'WS B-2 - Actual Stmt. AG'!D78</f>
        <v>267038458.69000003</v>
      </c>
      <c r="G41" s="621">
        <f>SUM('WS B-2 - Actual Stmt. AG'!M95:O95)-'WS B-2 - Actual Stmt. AG'!C78</f>
        <v>188810554</v>
      </c>
      <c r="H41"/>
      <c r="I41" s="104">
        <f>IF(G41="",0,(E41+G41)/2)</f>
        <v>227924506.34500003</v>
      </c>
      <c r="K41" s="16"/>
      <c r="L41" s="16"/>
      <c r="M41" s="16"/>
      <c r="N41" s="16"/>
      <c r="O41" s="16"/>
    </row>
    <row r="42" spans="1:17">
      <c r="A42" s="72">
        <f>+A41+1</f>
        <v>18</v>
      </c>
      <c r="C42" s="48" t="s">
        <v>519</v>
      </c>
      <c r="D42" s="72" t="str">
        <f>"WS B-2 - Actual Stmt. AG Ln. " &amp;'WS B-2 - Actual Stmt. AG'!A96&amp;" (Note 1)"</f>
        <v>WS B-2 - Actual Stmt. AG Ln. 5 (Note 1)</v>
      </c>
      <c r="E42" s="662">
        <f>SUM('WS B-2 - Actual Stmt. AG'!Q96:S96)</f>
        <v>163327964.30000001</v>
      </c>
      <c r="G42" s="621">
        <f>SUM('WS B-2 - Actual Stmt. AG'!M96:O96)</f>
        <v>168362031.26999998</v>
      </c>
      <c r="H42"/>
      <c r="I42" s="104">
        <f>IF(G42="",0,(E42+G42)/2)</f>
        <v>165844997.785</v>
      </c>
      <c r="K42" s="16"/>
      <c r="L42" s="16"/>
      <c r="M42" s="16"/>
      <c r="N42" s="16"/>
      <c r="O42" s="16"/>
    </row>
    <row r="43" spans="1:17" ht="15">
      <c r="A43" s="72">
        <f>+A42+1</f>
        <v>19</v>
      </c>
      <c r="C43" s="48" t="s">
        <v>520</v>
      </c>
      <c r="D43" s="72" t="str">
        <f>"WS B-2 - Actual Stmt. AG Ln. " &amp;'WS B-2 - Actual Stmt. AG'!A95&amp;" (Note 1)"</f>
        <v>WS B-2 - Actual Stmt. AG Ln. 4 (Note 1)</v>
      </c>
      <c r="E43" s="663">
        <f>('WS B-2 - Actual Stmt. AG'!Q95+'WS B-2 - Actual Stmt. AG'!S95)-('WS B-2 - Actual Stmt. AG'!Q96+'WS B-2 - Actual Stmt. AG'!S96)-'WS B-2 - Actual Stmt. AG'!D78</f>
        <v>68159681.610000014</v>
      </c>
      <c r="G43" s="622">
        <f>('WS B-2 - Actual Stmt. AG'!M95+'WS B-2 - Actual Stmt. AG'!O95)-('WS B-2 - Actual Stmt. AG'!M96+'WS B-2 - Actual Stmt. AG'!O96)-'WS B-2 - Actual Stmt. AG'!C78</f>
        <v>19664220.620000035</v>
      </c>
      <c r="I43" s="173">
        <f>IF(G43="",0,(E43+G43)/2)</f>
        <v>43911951.115000024</v>
      </c>
      <c r="K43" s="16"/>
      <c r="L43" s="16"/>
      <c r="M43" s="16"/>
      <c r="N43" s="16"/>
      <c r="O43" s="16"/>
    </row>
    <row r="44" spans="1:17">
      <c r="A44" s="72">
        <f>+A43+1</f>
        <v>20</v>
      </c>
      <c r="C44" s="48" t="s">
        <v>516</v>
      </c>
      <c r="D44" s="108" t="str">
        <f>"Ln "&amp;A41&amp;" - ln "&amp;A42&amp;" - ln "&amp;A43&amp;""</f>
        <v>Ln 17 - ln 18 - ln 19</v>
      </c>
      <c r="E44" s="16">
        <f>+E41-E42-E43</f>
        <v>35550812.780000001</v>
      </c>
      <c r="G44" s="16">
        <f>+G41-G42-G43</f>
        <v>784302.1099999845</v>
      </c>
      <c r="I44" s="104">
        <f>+I41-I42-I43</f>
        <v>18167557.445000008</v>
      </c>
    </row>
    <row r="45" spans="1:17">
      <c r="A45" s="72"/>
      <c r="C45" s="48"/>
      <c r="D45" s="108"/>
    </row>
    <row r="46" spans="1:17">
      <c r="A46" s="72"/>
      <c r="C46" s="48"/>
      <c r="D46" s="108"/>
    </row>
    <row r="47" spans="1:17" ht="15.75">
      <c r="A47" s="72">
        <f>+A44+1</f>
        <v>21</v>
      </c>
      <c r="C47" s="40" t="s">
        <v>513</v>
      </c>
      <c r="D47" s="108"/>
    </row>
    <row r="48" spans="1:17">
      <c r="A48" s="72"/>
      <c r="C48" s="48"/>
      <c r="D48" s="108"/>
      <c r="K48" s="16"/>
      <c r="L48" s="16"/>
      <c r="M48" s="16"/>
      <c r="N48" s="16"/>
      <c r="O48" s="16"/>
    </row>
    <row r="49" spans="1:15">
      <c r="A49" s="72">
        <f>+A47+1</f>
        <v>22</v>
      </c>
      <c r="C49" s="48" t="s">
        <v>521</v>
      </c>
      <c r="D49" s="66" t="s">
        <v>470</v>
      </c>
      <c r="E49" s="621">
        <f>SUM('WS B-1 - Actual Stmt. AF'!Q206:S206)</f>
        <v>262621</v>
      </c>
      <c r="G49" s="621">
        <f>SUM('WS B-1 - Actual Stmt. AF'!M206:O206)</f>
        <v>274246</v>
      </c>
      <c r="H49"/>
      <c r="I49" s="104">
        <f>IF(G49="",0,(E49+G49)/2)</f>
        <v>268433.5</v>
      </c>
      <c r="K49" s="16"/>
      <c r="L49" s="16"/>
      <c r="M49" s="16"/>
      <c r="N49" s="16"/>
      <c r="O49" s="16"/>
    </row>
    <row r="50" spans="1:15" ht="15">
      <c r="A50" s="72">
        <f>+A49+1</f>
        <v>23</v>
      </c>
      <c r="C50" s="48" t="s">
        <v>522</v>
      </c>
      <c r="D50" s="72" t="s">
        <v>67</v>
      </c>
      <c r="E50" s="622">
        <f>SUM('WS B-1 - Actual Stmt. AF'!Q204:S204)</f>
        <v>262538</v>
      </c>
      <c r="G50" s="622">
        <f>SUM('WS B-1 - Actual Stmt. AF'!M204:O204)</f>
        <v>273715</v>
      </c>
      <c r="H50"/>
      <c r="I50" s="173">
        <f>IF(G50="",0,(E50+G50)/2)</f>
        <v>268126.5</v>
      </c>
      <c r="K50" s="16"/>
      <c r="L50" s="16"/>
      <c r="M50" s="16"/>
      <c r="N50" s="16"/>
      <c r="O50" s="16"/>
    </row>
    <row r="51" spans="1:15">
      <c r="A51" s="72">
        <f>+A50+1</f>
        <v>24</v>
      </c>
      <c r="C51" s="48" t="s">
        <v>388</v>
      </c>
      <c r="D51" s="108" t="str">
        <f>"Ln "&amp;A49&amp;" - ln "&amp;A50&amp;""</f>
        <v>Ln 22 - ln 23</v>
      </c>
      <c r="E51" s="16">
        <f>+E49-E50</f>
        <v>83</v>
      </c>
      <c r="G51" s="16">
        <f>+G49-G50</f>
        <v>531</v>
      </c>
      <c r="H51"/>
      <c r="I51" s="104">
        <f>+I49-I50</f>
        <v>307</v>
      </c>
      <c r="K51" s="16"/>
      <c r="L51" s="16"/>
      <c r="M51" s="16"/>
      <c r="N51" s="16"/>
      <c r="O51" s="16"/>
    </row>
    <row r="52" spans="1:15">
      <c r="A52" s="72">
        <f>+A51+1</f>
        <v>25</v>
      </c>
      <c r="C52" s="48" t="s">
        <v>516</v>
      </c>
      <c r="D52" s="72" t="str">
        <f>"WS B-1 - Actual Stmt. AF Ln. " &amp;'WS B-1 - Actual Stmt. AF'!A206&amp;" (Note 1)"</f>
        <v>WS B-1 - Actual Stmt. AF Ln. 20 (Note 1)</v>
      </c>
      <c r="E52" s="621">
        <f>'WS B-1 - Actual Stmt. AF'!R206</f>
        <v>262538</v>
      </c>
      <c r="G52" s="621">
        <f>'WS B-1 - Actual Stmt. AF'!N206</f>
        <v>273715</v>
      </c>
      <c r="H52"/>
      <c r="I52" s="104">
        <f>IF(G52="",0,(E52+G52)/2)</f>
        <v>268126.5</v>
      </c>
      <c r="K52" s="16"/>
      <c r="L52" s="16"/>
      <c r="M52" s="16"/>
      <c r="N52" s="16"/>
      <c r="O52" s="16"/>
    </row>
    <row r="53" spans="1:15">
      <c r="A53" s="72"/>
      <c r="C53" s="48"/>
      <c r="D53" s="48"/>
      <c r="K53" s="16"/>
      <c r="L53" s="16"/>
      <c r="M53" s="16"/>
      <c r="N53" s="16"/>
      <c r="O53" s="16"/>
    </row>
    <row r="54" spans="1:15">
      <c r="A54" s="54" t="s">
        <v>68</v>
      </c>
      <c r="C54" s="1260" t="s">
        <v>814</v>
      </c>
      <c r="D54" s="1260"/>
      <c r="E54" s="1260"/>
      <c r="F54" s="1260"/>
      <c r="G54" s="1260"/>
      <c r="H54" s="1260"/>
      <c r="I54" s="1260"/>
    </row>
    <row r="55" spans="1:15">
      <c r="A55" s="54"/>
      <c r="C55" s="1260"/>
      <c r="D55" s="1260"/>
      <c r="E55" s="1260"/>
      <c r="F55" s="1260"/>
      <c r="G55" s="1260"/>
      <c r="H55" s="1260"/>
      <c r="I55" s="1260"/>
    </row>
    <row r="56" spans="1:15">
      <c r="A56" s="72"/>
      <c r="C56" s="48"/>
      <c r="D56" s="48"/>
    </row>
    <row r="57" spans="1:15">
      <c r="A57" s="72" t="s">
        <v>69</v>
      </c>
      <c r="B57" s="24" t="s">
        <v>70</v>
      </c>
      <c r="C57" s="48"/>
      <c r="D57" s="48"/>
    </row>
    <row r="58" spans="1:15">
      <c r="B58" s="4"/>
      <c r="C58" s="4"/>
      <c r="D58" s="4"/>
      <c r="E58" s="4"/>
      <c r="F58" s="4"/>
      <c r="G58" s="4"/>
      <c r="H58" s="4"/>
      <c r="I58" s="4"/>
      <c r="J58" s="4"/>
      <c r="K58" s="4"/>
    </row>
    <row r="59" spans="1:15">
      <c r="B59" s="4"/>
      <c r="C59" s="4"/>
      <c r="D59" s="4"/>
      <c r="E59" s="4"/>
      <c r="F59" s="4"/>
      <c r="G59" s="4"/>
      <c r="H59" s="4"/>
      <c r="I59" s="4"/>
      <c r="J59" s="4"/>
      <c r="K59" s="4"/>
    </row>
    <row r="60" spans="1:15">
      <c r="B60" s="4"/>
      <c r="C60" s="4"/>
      <c r="D60" s="4"/>
      <c r="E60" s="4"/>
      <c r="F60" s="4"/>
      <c r="G60" s="4"/>
      <c r="H60" s="4"/>
      <c r="I60" s="4"/>
      <c r="J60" s="4"/>
      <c r="K60" s="4"/>
    </row>
    <row r="61" spans="1:15">
      <c r="B61" s="4"/>
      <c r="C61" s="4"/>
      <c r="D61" s="4"/>
      <c r="E61" s="4"/>
      <c r="F61" s="4"/>
      <c r="G61" s="4"/>
      <c r="H61" s="4"/>
      <c r="I61" s="4"/>
      <c r="J61" s="4"/>
      <c r="K61" s="4"/>
    </row>
    <row r="62" spans="1:15">
      <c r="B62" s="4"/>
      <c r="C62" s="4"/>
      <c r="D62" s="4"/>
      <c r="E62" s="4"/>
      <c r="F62" s="4"/>
      <c r="G62" s="4"/>
      <c r="H62" s="4"/>
      <c r="I62" s="4"/>
      <c r="J62" s="4"/>
      <c r="K62" s="4"/>
    </row>
    <row r="63" spans="1:15">
      <c r="B63" s="4"/>
      <c r="C63" s="4"/>
      <c r="D63" s="4"/>
      <c r="E63" s="4"/>
      <c r="F63" s="4"/>
      <c r="G63" s="4"/>
      <c r="H63" s="4"/>
      <c r="I63" s="4"/>
      <c r="J63" s="4"/>
      <c r="K63" s="4"/>
      <c r="L63" s="4"/>
    </row>
    <row r="64" spans="1:15">
      <c r="B64" s="4"/>
      <c r="C64" s="4"/>
      <c r="D64" s="4"/>
      <c r="E64" s="4"/>
      <c r="F64" s="4"/>
      <c r="G64" s="4"/>
      <c r="H64" s="4"/>
      <c r="I64" s="4"/>
      <c r="J64" s="4"/>
      <c r="K64" s="4"/>
      <c r="L64" s="4"/>
    </row>
    <row r="65" spans="2:12">
      <c r="B65" s="4"/>
      <c r="C65" s="4"/>
      <c r="D65" s="4"/>
      <c r="E65" s="4"/>
      <c r="F65" s="4"/>
      <c r="G65" s="4"/>
      <c r="H65" s="4"/>
      <c r="I65" s="4"/>
      <c r="J65" s="4"/>
      <c r="K65" s="4"/>
      <c r="L65" s="4"/>
    </row>
    <row r="66" spans="2:12">
      <c r="B66" s="4"/>
      <c r="C66" s="4"/>
      <c r="D66" s="4"/>
      <c r="E66" s="4"/>
      <c r="F66" s="4"/>
      <c r="G66" s="4"/>
      <c r="H66" s="4"/>
      <c r="I66" s="4"/>
      <c r="J66" s="4"/>
      <c r="K66" s="4"/>
      <c r="L66" s="4"/>
    </row>
    <row r="67" spans="2:12">
      <c r="B67" s="4"/>
      <c r="C67" s="4"/>
      <c r="D67" s="4"/>
      <c r="E67" s="4"/>
      <c r="F67" s="4"/>
      <c r="G67" s="4"/>
      <c r="H67" s="4"/>
      <c r="I67" s="4"/>
      <c r="J67" s="4"/>
      <c r="K67" s="4"/>
      <c r="L67" s="4"/>
    </row>
    <row r="68" spans="2:12">
      <c r="B68" s="4"/>
      <c r="C68" s="4"/>
      <c r="D68" s="4"/>
      <c r="E68" s="4"/>
      <c r="F68" s="4"/>
      <c r="G68" s="4"/>
      <c r="H68" s="4"/>
      <c r="I68" s="4"/>
      <c r="J68" s="4"/>
      <c r="K68" s="4"/>
      <c r="L68" s="4"/>
    </row>
    <row r="69" spans="2:12">
      <c r="B69" s="4"/>
      <c r="C69" s="4"/>
      <c r="D69" s="4"/>
      <c r="E69" s="4"/>
      <c r="F69" s="4"/>
      <c r="G69" s="4"/>
      <c r="H69" s="4"/>
      <c r="I69" s="4"/>
      <c r="J69" s="4"/>
      <c r="K69" s="4"/>
      <c r="L69" s="4"/>
    </row>
    <row r="70" spans="2:12">
      <c r="B70" s="4"/>
      <c r="C70" s="4"/>
      <c r="D70" s="4"/>
      <c r="E70" s="4"/>
      <c r="F70" s="4"/>
      <c r="G70" s="4"/>
      <c r="H70" s="4"/>
      <c r="I70" s="4"/>
      <c r="J70" s="4"/>
      <c r="K70" s="4"/>
      <c r="L70" s="4"/>
    </row>
    <row r="71" spans="2:12">
      <c r="B71" s="4"/>
      <c r="C71" s="4"/>
      <c r="D71" s="4"/>
      <c r="E71" s="4"/>
      <c r="F71" s="4"/>
      <c r="G71" s="4"/>
      <c r="H71" s="4"/>
      <c r="I71" s="4"/>
      <c r="J71" s="4"/>
      <c r="K71" s="4"/>
      <c r="L71" s="4"/>
    </row>
    <row r="72" spans="2:12">
      <c r="B72" s="4"/>
      <c r="C72" s="4"/>
      <c r="D72" s="4"/>
      <c r="E72" s="4"/>
      <c r="F72" s="4"/>
      <c r="G72" s="4"/>
      <c r="H72" s="4"/>
      <c r="I72" s="4"/>
      <c r="J72" s="4"/>
      <c r="K72" s="4"/>
      <c r="L72" s="4"/>
    </row>
    <row r="73" spans="2:12">
      <c r="B73" s="4"/>
      <c r="C73" s="4"/>
      <c r="D73" s="4"/>
      <c r="E73" s="4"/>
      <c r="F73" s="4"/>
      <c r="G73" s="4"/>
      <c r="H73" s="4"/>
      <c r="I73" s="4"/>
      <c r="J73" s="4"/>
      <c r="K73" s="4"/>
      <c r="L73" s="4"/>
    </row>
    <row r="74" spans="2:12">
      <c r="B74" s="4"/>
      <c r="C74" s="4"/>
      <c r="D74" s="4"/>
      <c r="E74" s="4"/>
      <c r="F74" s="4"/>
      <c r="G74" s="4"/>
      <c r="H74" s="4"/>
      <c r="I74" s="4"/>
      <c r="J74" s="4"/>
      <c r="K74" s="4"/>
      <c r="L74" s="4"/>
    </row>
    <row r="75" spans="2:12">
      <c r="B75" s="4"/>
      <c r="C75" s="4"/>
      <c r="D75" s="4"/>
      <c r="E75" s="4"/>
      <c r="F75" s="4"/>
      <c r="G75" s="4"/>
      <c r="H75" s="4"/>
      <c r="I75" s="4"/>
      <c r="J75" s="4"/>
      <c r="K75" s="4"/>
      <c r="L75" s="4"/>
    </row>
    <row r="76" spans="2:12">
      <c r="B76" s="4"/>
      <c r="C76" s="4"/>
      <c r="D76" s="4"/>
      <c r="E76" s="4"/>
      <c r="F76" s="4"/>
      <c r="G76" s="4"/>
      <c r="H76" s="4"/>
      <c r="I76" s="4"/>
      <c r="J76" s="4"/>
      <c r="K76" s="4"/>
      <c r="L76" s="4"/>
    </row>
    <row r="77" spans="2:12">
      <c r="B77" s="4"/>
      <c r="C77" s="4"/>
      <c r="D77" s="4"/>
      <c r="E77" s="4"/>
      <c r="F77" s="4"/>
      <c r="G77" s="4"/>
      <c r="H77" s="4"/>
      <c r="I77" s="4"/>
      <c r="J77" s="4"/>
      <c r="K77" s="4"/>
      <c r="L77" s="4"/>
    </row>
    <row r="78" spans="2:12">
      <c r="B78" s="4"/>
      <c r="C78" s="4"/>
      <c r="D78" s="4"/>
      <c r="E78" s="4"/>
      <c r="F78" s="4"/>
      <c r="G78" s="4"/>
      <c r="H78" s="4"/>
      <c r="I78" s="4"/>
      <c r="J78" s="4"/>
      <c r="K78" s="4"/>
      <c r="L78" s="4"/>
    </row>
    <row r="79" spans="2:12">
      <c r="B79" s="4"/>
      <c r="C79" s="4"/>
      <c r="D79" s="4"/>
      <c r="E79" s="4"/>
      <c r="F79" s="4"/>
      <c r="G79" s="4"/>
      <c r="H79" s="4"/>
      <c r="I79" s="4"/>
      <c r="J79" s="4"/>
      <c r="K79" s="4"/>
      <c r="L79" s="4"/>
    </row>
    <row r="80" spans="2:12">
      <c r="B80" s="4"/>
      <c r="C80" s="4"/>
      <c r="D80" s="4"/>
      <c r="E80" s="4"/>
      <c r="F80" s="4"/>
      <c r="G80" s="4"/>
      <c r="H80" s="4"/>
      <c r="I80" s="4"/>
      <c r="J80" s="4"/>
      <c r="K80" s="4"/>
      <c r="L80" s="4"/>
    </row>
    <row r="81" spans="2:12">
      <c r="B81" s="4"/>
      <c r="C81" s="4"/>
      <c r="D81" s="4"/>
      <c r="E81" s="4"/>
      <c r="F81" s="4"/>
      <c r="G81" s="4"/>
      <c r="H81" s="4"/>
      <c r="I81" s="4"/>
      <c r="J81" s="4"/>
      <c r="K81" s="4"/>
      <c r="L81" s="4"/>
    </row>
    <row r="82" spans="2:12">
      <c r="B82" s="4"/>
      <c r="C82" s="4"/>
      <c r="D82" s="4"/>
      <c r="E82" s="4"/>
      <c r="F82" s="4"/>
      <c r="G82" s="4"/>
      <c r="H82" s="4"/>
      <c r="I82" s="4"/>
      <c r="J82" s="4"/>
      <c r="K82" s="4"/>
      <c r="L82" s="4"/>
    </row>
    <row r="83" spans="2:12">
      <c r="B83" s="4"/>
      <c r="C83" s="4"/>
      <c r="D83" s="4"/>
      <c r="E83" s="4"/>
      <c r="F83" s="4"/>
      <c r="G83" s="4"/>
      <c r="H83" s="4"/>
      <c r="I83" s="4"/>
      <c r="J83" s="4"/>
      <c r="K83" s="4"/>
      <c r="L83" s="4"/>
    </row>
    <row r="84" spans="2:12">
      <c r="B84" s="4"/>
      <c r="C84" s="4"/>
      <c r="D84" s="4"/>
      <c r="E84" s="4"/>
      <c r="F84" s="4"/>
      <c r="G84" s="4"/>
      <c r="H84" s="4"/>
      <c r="I84" s="4"/>
      <c r="J84" s="4"/>
      <c r="K84" s="4"/>
      <c r="L84" s="4"/>
    </row>
    <row r="85" spans="2:12">
      <c r="B85" s="4"/>
      <c r="C85" s="4"/>
      <c r="D85" s="4"/>
      <c r="E85" s="4"/>
      <c r="F85" s="4"/>
      <c r="G85" s="4"/>
      <c r="H85" s="4"/>
      <c r="I85" s="4"/>
      <c r="J85" s="4"/>
      <c r="K85" s="4"/>
      <c r="L85" s="4"/>
    </row>
    <row r="86" spans="2:12">
      <c r="B86" s="4"/>
      <c r="C86" s="4"/>
      <c r="D86" s="4"/>
      <c r="E86" s="4"/>
      <c r="F86" s="4"/>
      <c r="G86" s="4"/>
      <c r="H86" s="4"/>
      <c r="I86" s="4"/>
      <c r="J86" s="4"/>
      <c r="K86" s="4"/>
      <c r="L86" s="4"/>
    </row>
    <row r="87" spans="2:12">
      <c r="B87" s="4"/>
      <c r="C87" s="4"/>
      <c r="D87" s="4"/>
      <c r="E87" s="4"/>
      <c r="F87" s="4"/>
      <c r="G87" s="4"/>
      <c r="H87" s="4"/>
      <c r="I87" s="4"/>
      <c r="J87" s="4"/>
      <c r="K87" s="4"/>
      <c r="L87" s="4"/>
    </row>
    <row r="88" spans="2:12">
      <c r="B88" s="4"/>
      <c r="C88" s="4"/>
      <c r="D88" s="4"/>
      <c r="E88" s="4"/>
      <c r="F88" s="4"/>
      <c r="G88" s="4"/>
      <c r="H88" s="4"/>
      <c r="I88" s="4"/>
      <c r="J88" s="4"/>
      <c r="K88" s="4"/>
      <c r="L88" s="4"/>
    </row>
    <row r="89" spans="2:12">
      <c r="B89" s="4"/>
      <c r="C89" s="4"/>
      <c r="D89" s="4"/>
      <c r="E89" s="4"/>
      <c r="F89" s="4"/>
      <c r="G89" s="4"/>
      <c r="H89" s="4"/>
      <c r="I89" s="4"/>
      <c r="J89" s="4"/>
      <c r="K89" s="4"/>
      <c r="L89" s="4"/>
    </row>
    <row r="90" spans="2:12">
      <c r="B90" s="4"/>
      <c r="C90" s="4"/>
      <c r="D90" s="4"/>
      <c r="E90" s="4"/>
      <c r="F90" s="4"/>
      <c r="G90" s="4"/>
      <c r="H90" s="4"/>
      <c r="I90" s="4"/>
      <c r="J90" s="4"/>
      <c r="K90" s="4"/>
      <c r="L90" s="4"/>
    </row>
    <row r="91" spans="2:12">
      <c r="B91" s="4"/>
      <c r="C91" s="4"/>
      <c r="D91" s="4"/>
      <c r="E91" s="4"/>
      <c r="F91" s="4"/>
      <c r="G91" s="4"/>
      <c r="H91" s="4"/>
      <c r="I91" s="4"/>
      <c r="J91" s="4"/>
      <c r="K91" s="4"/>
      <c r="L91" s="4"/>
    </row>
    <row r="92" spans="2:12">
      <c r="B92" s="4"/>
      <c r="C92" s="4"/>
      <c r="D92" s="4"/>
      <c r="E92" s="4"/>
      <c r="F92" s="4"/>
      <c r="G92" s="4"/>
      <c r="H92" s="4"/>
      <c r="I92" s="4"/>
      <c r="J92" s="4"/>
      <c r="K92" s="4"/>
      <c r="L92" s="4"/>
    </row>
    <row r="93" spans="2:12">
      <c r="B93" s="4"/>
      <c r="C93" s="4"/>
      <c r="D93" s="4"/>
      <c r="E93" s="4"/>
      <c r="F93" s="4"/>
      <c r="G93" s="4"/>
      <c r="H93" s="4"/>
      <c r="I93" s="4"/>
      <c r="J93" s="4"/>
      <c r="K93" s="4"/>
      <c r="L93" s="4"/>
    </row>
    <row r="94" spans="2:12">
      <c r="B94" s="4"/>
      <c r="C94" s="4"/>
      <c r="D94" s="4"/>
      <c r="E94" s="4"/>
      <c r="F94" s="4"/>
      <c r="G94" s="4"/>
      <c r="H94" s="4"/>
      <c r="I94" s="4"/>
      <c r="J94" s="4"/>
      <c r="K94" s="4"/>
      <c r="L94" s="4"/>
    </row>
    <row r="95" spans="2:12">
      <c r="B95" s="4"/>
      <c r="C95" s="4"/>
      <c r="D95" s="4"/>
      <c r="E95" s="4"/>
      <c r="F95" s="4"/>
      <c r="G95" s="4"/>
      <c r="H95" s="4"/>
      <c r="I95" s="4"/>
      <c r="J95" s="4"/>
      <c r="K95" s="4"/>
      <c r="L95" s="4"/>
    </row>
    <row r="96" spans="2:12">
      <c r="B96" s="4"/>
      <c r="C96" s="4"/>
      <c r="D96" s="4"/>
      <c r="E96" s="4"/>
      <c r="F96" s="4"/>
      <c r="G96" s="4"/>
      <c r="H96" s="4"/>
      <c r="I96" s="4"/>
      <c r="J96" s="4"/>
      <c r="K96" s="4"/>
      <c r="L96" s="4"/>
    </row>
    <row r="97" spans="2:12">
      <c r="B97" s="4"/>
      <c r="C97" s="4"/>
      <c r="D97" s="4"/>
      <c r="E97" s="4"/>
      <c r="F97" s="4"/>
      <c r="G97" s="4"/>
      <c r="H97" s="4"/>
      <c r="I97" s="4"/>
      <c r="J97" s="4"/>
      <c r="K97" s="4"/>
      <c r="L97" s="4"/>
    </row>
    <row r="98" spans="2:12">
      <c r="B98" s="4"/>
      <c r="C98" s="4"/>
      <c r="D98" s="4"/>
      <c r="E98" s="4"/>
      <c r="F98" s="4"/>
      <c r="G98" s="4"/>
      <c r="H98" s="4"/>
      <c r="I98" s="4"/>
      <c r="J98" s="4"/>
      <c r="K98" s="4"/>
      <c r="L98" s="4"/>
    </row>
    <row r="99" spans="2:12">
      <c r="B99" s="4"/>
      <c r="C99" s="4"/>
      <c r="D99" s="4"/>
      <c r="E99" s="4"/>
      <c r="F99" s="4"/>
      <c r="G99" s="4"/>
      <c r="H99" s="4"/>
      <c r="I99" s="4"/>
      <c r="J99" s="4"/>
      <c r="K99" s="4"/>
      <c r="L99" s="4"/>
    </row>
    <row r="100" spans="2:12">
      <c r="B100" s="4"/>
      <c r="C100" s="4"/>
      <c r="D100" s="4"/>
      <c r="E100" s="4"/>
      <c r="F100" s="4"/>
      <c r="G100" s="4"/>
      <c r="H100" s="4"/>
      <c r="I100" s="4"/>
      <c r="J100" s="4"/>
      <c r="K100" s="4"/>
      <c r="L100" s="4"/>
    </row>
    <row r="101" spans="2:12">
      <c r="B101" s="4"/>
      <c r="C101" s="4"/>
      <c r="D101" s="4"/>
      <c r="E101" s="4"/>
      <c r="F101" s="4"/>
      <c r="G101" s="4"/>
      <c r="H101" s="4"/>
      <c r="I101" s="4"/>
      <c r="J101" s="4"/>
      <c r="K101" s="4"/>
      <c r="L101" s="4"/>
    </row>
    <row r="102" spans="2:12">
      <c r="B102" s="4"/>
      <c r="C102" s="4"/>
      <c r="D102" s="4"/>
      <c r="E102" s="4"/>
      <c r="F102" s="4"/>
      <c r="G102" s="4"/>
      <c r="H102" s="4"/>
      <c r="I102" s="4"/>
      <c r="J102" s="4"/>
      <c r="K102" s="4"/>
      <c r="L102" s="4"/>
    </row>
    <row r="103" spans="2:12">
      <c r="B103" s="4"/>
      <c r="C103" s="4"/>
      <c r="D103" s="4"/>
      <c r="E103" s="4"/>
      <c r="F103" s="4"/>
      <c r="G103" s="4"/>
      <c r="H103" s="4"/>
      <c r="I103" s="4"/>
      <c r="J103" s="4"/>
      <c r="K103" s="4"/>
      <c r="L103" s="4"/>
    </row>
    <row r="104" spans="2:12">
      <c r="B104" s="4"/>
      <c r="C104" s="4"/>
      <c r="D104" s="4"/>
      <c r="E104" s="4"/>
      <c r="F104" s="4"/>
      <c r="G104" s="4"/>
      <c r="H104" s="4"/>
      <c r="I104" s="4"/>
      <c r="J104" s="4"/>
      <c r="K104" s="4"/>
      <c r="L104" s="4"/>
    </row>
    <row r="105" spans="2:12">
      <c r="B105" s="4"/>
      <c r="C105" s="4"/>
      <c r="D105" s="4"/>
      <c r="E105" s="4"/>
      <c r="F105" s="4"/>
      <c r="G105" s="4"/>
      <c r="H105" s="4"/>
      <c r="I105" s="4"/>
      <c r="J105" s="4"/>
      <c r="K105" s="4"/>
      <c r="L105" s="4"/>
    </row>
    <row r="106" spans="2:12">
      <c r="B106" s="4"/>
      <c r="C106" s="4"/>
      <c r="D106" s="4"/>
      <c r="E106" s="4"/>
      <c r="F106" s="4"/>
      <c r="G106" s="4"/>
      <c r="H106" s="4"/>
      <c r="I106" s="4"/>
      <c r="J106" s="4"/>
      <c r="K106" s="4"/>
      <c r="L106" s="4"/>
    </row>
    <row r="107" spans="2:12">
      <c r="B107" s="4"/>
      <c r="C107" s="4"/>
      <c r="D107" s="4"/>
      <c r="E107" s="4"/>
      <c r="F107" s="4"/>
      <c r="G107" s="4"/>
      <c r="H107" s="4"/>
      <c r="I107" s="4"/>
      <c r="J107" s="4"/>
      <c r="K107" s="4"/>
      <c r="L107" s="4"/>
    </row>
    <row r="108" spans="2:12">
      <c r="B108" s="4"/>
      <c r="C108" s="4"/>
      <c r="D108" s="4"/>
      <c r="E108" s="4"/>
      <c r="F108" s="4"/>
      <c r="G108" s="4"/>
      <c r="H108" s="4"/>
      <c r="I108" s="4"/>
      <c r="J108" s="4"/>
      <c r="K108" s="4"/>
      <c r="L108" s="4"/>
    </row>
    <row r="109" spans="2:12">
      <c r="B109" s="4"/>
      <c r="C109" s="4"/>
      <c r="D109" s="4"/>
      <c r="E109" s="4"/>
      <c r="F109" s="4"/>
      <c r="G109" s="4"/>
      <c r="H109" s="4"/>
      <c r="I109" s="4"/>
      <c r="J109" s="4"/>
      <c r="K109" s="4"/>
      <c r="L109" s="4"/>
    </row>
    <row r="110" spans="2:12">
      <c r="B110" s="4"/>
      <c r="C110" s="4"/>
      <c r="D110" s="4"/>
      <c r="E110" s="4"/>
      <c r="F110" s="4"/>
      <c r="G110" s="4"/>
      <c r="H110" s="4"/>
      <c r="I110" s="4"/>
      <c r="J110" s="4"/>
      <c r="K110" s="4"/>
      <c r="L110" s="4"/>
    </row>
    <row r="111" spans="2:12">
      <c r="B111" s="4"/>
      <c r="C111" s="4"/>
      <c r="D111" s="4"/>
      <c r="E111" s="4"/>
      <c r="F111" s="4"/>
      <c r="G111" s="4"/>
      <c r="H111" s="4"/>
      <c r="I111" s="4"/>
      <c r="J111" s="4"/>
      <c r="K111" s="4"/>
      <c r="L111" s="4"/>
    </row>
    <row r="112" spans="2:12">
      <c r="B112" s="4"/>
      <c r="C112" s="4"/>
      <c r="D112" s="4"/>
      <c r="E112" s="4"/>
      <c r="F112" s="4"/>
      <c r="G112" s="4"/>
      <c r="H112" s="4"/>
      <c r="I112" s="4"/>
      <c r="J112" s="4"/>
      <c r="K112" s="4"/>
      <c r="L112" s="4"/>
    </row>
    <row r="113" spans="2:12">
      <c r="B113" s="4"/>
      <c r="C113" s="4"/>
      <c r="D113" s="4"/>
      <c r="E113" s="4"/>
      <c r="F113" s="4"/>
      <c r="G113" s="4"/>
      <c r="H113" s="4"/>
      <c r="I113" s="4"/>
      <c r="J113" s="4"/>
      <c r="K113" s="4"/>
      <c r="L113" s="4"/>
    </row>
    <row r="114" spans="2:12">
      <c r="B114" s="4"/>
      <c r="C114" s="4"/>
      <c r="D114" s="4"/>
      <c r="E114" s="4"/>
      <c r="F114" s="4"/>
      <c r="G114" s="4"/>
      <c r="H114" s="4"/>
      <c r="I114" s="4"/>
      <c r="J114" s="4"/>
      <c r="K114" s="4"/>
      <c r="L114" s="4"/>
    </row>
    <row r="115" spans="2:12">
      <c r="B115" s="4"/>
      <c r="C115" s="4"/>
      <c r="D115" s="4"/>
      <c r="E115" s="4"/>
      <c r="F115" s="4"/>
      <c r="G115" s="4"/>
      <c r="H115" s="4"/>
      <c r="I115" s="4"/>
      <c r="J115" s="4"/>
      <c r="K115" s="4"/>
      <c r="L115" s="4"/>
    </row>
    <row r="116" spans="2:12">
      <c r="B116" s="4"/>
      <c r="C116" s="4"/>
      <c r="D116" s="4"/>
      <c r="E116" s="4"/>
      <c r="F116" s="4"/>
      <c r="G116" s="4"/>
      <c r="H116" s="4"/>
      <c r="I116" s="4"/>
      <c r="J116" s="4"/>
      <c r="K116" s="4"/>
      <c r="L116" s="4"/>
    </row>
    <row r="117" spans="2:12">
      <c r="B117" s="4"/>
      <c r="C117" s="4"/>
      <c r="D117" s="4"/>
      <c r="E117" s="4"/>
      <c r="F117" s="4"/>
      <c r="G117" s="4"/>
      <c r="H117" s="4"/>
      <c r="I117" s="4"/>
      <c r="J117" s="4"/>
      <c r="K117" s="4"/>
      <c r="L117" s="4"/>
    </row>
    <row r="118" spans="2:12">
      <c r="B118" s="4"/>
      <c r="C118" s="4"/>
      <c r="D118" s="4"/>
      <c r="E118" s="4"/>
      <c r="F118" s="4"/>
      <c r="G118" s="4"/>
      <c r="H118" s="4"/>
      <c r="I118" s="4"/>
      <c r="J118" s="4"/>
      <c r="K118" s="4"/>
      <c r="L118" s="4"/>
    </row>
    <row r="119" spans="2:12">
      <c r="B119" s="4"/>
      <c r="C119" s="4"/>
      <c r="D119" s="4"/>
      <c r="E119" s="4"/>
      <c r="F119" s="4"/>
      <c r="G119" s="4"/>
      <c r="H119" s="4"/>
      <c r="I119" s="4"/>
      <c r="J119" s="4"/>
      <c r="K119" s="4"/>
      <c r="L119" s="4"/>
    </row>
    <row r="120" spans="2:12">
      <c r="B120" s="4"/>
      <c r="C120" s="4"/>
      <c r="D120" s="4"/>
      <c r="E120" s="4"/>
      <c r="F120" s="4"/>
      <c r="G120" s="4"/>
      <c r="H120" s="4"/>
      <c r="I120" s="4"/>
      <c r="J120" s="4"/>
      <c r="K120" s="4"/>
      <c r="L120" s="4"/>
    </row>
    <row r="121" spans="2:12">
      <c r="B121" s="4"/>
      <c r="C121" s="4"/>
      <c r="D121" s="4"/>
      <c r="E121" s="4"/>
      <c r="F121" s="4"/>
      <c r="G121" s="4"/>
      <c r="H121" s="4"/>
      <c r="I121" s="4"/>
      <c r="J121" s="4"/>
      <c r="K121" s="4"/>
      <c r="L121" s="4"/>
    </row>
    <row r="122" spans="2:12">
      <c r="B122" s="4"/>
      <c r="C122" s="4"/>
      <c r="D122" s="4"/>
      <c r="E122" s="4"/>
      <c r="F122" s="4"/>
      <c r="G122" s="4"/>
      <c r="H122" s="4"/>
      <c r="I122" s="4"/>
      <c r="J122" s="4"/>
      <c r="K122" s="4"/>
      <c r="L122" s="4"/>
    </row>
    <row r="123" spans="2:12">
      <c r="B123" s="4"/>
      <c r="C123" s="4"/>
      <c r="D123" s="4"/>
      <c r="E123" s="4"/>
      <c r="F123" s="4"/>
      <c r="G123" s="4"/>
      <c r="H123" s="4"/>
      <c r="I123" s="4"/>
      <c r="J123" s="4"/>
      <c r="K123" s="4"/>
      <c r="L123" s="4"/>
    </row>
    <row r="124" spans="2:12">
      <c r="B124" s="4"/>
      <c r="C124" s="4"/>
      <c r="D124" s="4"/>
      <c r="E124" s="4"/>
      <c r="F124" s="4"/>
      <c r="G124" s="4"/>
      <c r="H124" s="4"/>
      <c r="I124" s="4"/>
      <c r="J124" s="4"/>
      <c r="K124" s="4"/>
      <c r="L124" s="4"/>
    </row>
    <row r="125" spans="2:12">
      <c r="B125" s="4"/>
      <c r="C125" s="4"/>
      <c r="D125" s="4"/>
      <c r="E125" s="4"/>
      <c r="F125" s="4"/>
      <c r="G125" s="4"/>
      <c r="H125" s="4"/>
      <c r="I125" s="4"/>
      <c r="J125" s="4"/>
      <c r="K125" s="4"/>
      <c r="L125" s="4"/>
    </row>
    <row r="126" spans="2:12">
      <c r="B126" s="4"/>
      <c r="C126" s="4"/>
      <c r="D126" s="4"/>
      <c r="E126" s="4"/>
      <c r="F126" s="4"/>
      <c r="G126" s="4"/>
      <c r="H126" s="4"/>
      <c r="I126" s="4"/>
      <c r="J126" s="4"/>
      <c r="K126" s="4"/>
      <c r="L126" s="4"/>
    </row>
    <row r="127" spans="2:12">
      <c r="B127" s="4"/>
      <c r="C127" s="4"/>
      <c r="D127" s="4"/>
      <c r="E127" s="4"/>
      <c r="F127" s="4"/>
      <c r="G127" s="4"/>
      <c r="H127" s="4"/>
      <c r="I127" s="4"/>
      <c r="J127" s="4"/>
      <c r="K127" s="4"/>
      <c r="L127" s="4"/>
    </row>
    <row r="128" spans="2:12">
      <c r="B128" s="4"/>
      <c r="C128" s="4"/>
      <c r="D128" s="4"/>
      <c r="E128" s="4"/>
      <c r="F128" s="4"/>
      <c r="G128" s="4"/>
      <c r="H128" s="4"/>
      <c r="I128" s="4"/>
      <c r="J128" s="4"/>
      <c r="K128" s="4"/>
      <c r="L128" s="4"/>
    </row>
    <row r="129" spans="2:12">
      <c r="B129" s="4"/>
      <c r="C129" s="4"/>
      <c r="D129" s="4"/>
      <c r="E129" s="4"/>
      <c r="F129" s="4"/>
      <c r="G129" s="4"/>
      <c r="H129" s="4"/>
      <c r="I129" s="4"/>
      <c r="J129" s="4"/>
      <c r="K129" s="4"/>
      <c r="L129" s="4"/>
    </row>
    <row r="130" spans="2:12">
      <c r="B130" s="4"/>
      <c r="C130" s="4"/>
      <c r="D130" s="4"/>
      <c r="E130" s="4"/>
      <c r="F130" s="4"/>
      <c r="G130" s="4"/>
      <c r="H130" s="4"/>
      <c r="I130" s="4"/>
      <c r="J130" s="4"/>
      <c r="K130" s="4"/>
      <c r="L130" s="4"/>
    </row>
    <row r="131" spans="2:12">
      <c r="B131" s="4"/>
      <c r="C131" s="4"/>
      <c r="D131" s="4"/>
      <c r="E131" s="4"/>
      <c r="F131" s="4"/>
      <c r="G131" s="4"/>
      <c r="H131" s="4"/>
      <c r="I131" s="4"/>
      <c r="J131" s="4"/>
      <c r="K131" s="4"/>
      <c r="L131" s="4"/>
    </row>
    <row r="132" spans="2:12">
      <c r="B132" s="4"/>
      <c r="C132" s="4"/>
      <c r="D132" s="4"/>
      <c r="E132" s="4"/>
      <c r="F132" s="4"/>
      <c r="G132" s="4"/>
      <c r="H132" s="4"/>
      <c r="I132" s="4"/>
      <c r="J132" s="4"/>
      <c r="K132" s="4"/>
      <c r="L132" s="4"/>
    </row>
    <row r="133" spans="2:12">
      <c r="B133" s="4"/>
      <c r="C133" s="4"/>
      <c r="D133" s="4"/>
      <c r="E133" s="4"/>
      <c r="F133" s="4"/>
      <c r="G133" s="4"/>
      <c r="H133" s="4"/>
      <c r="I133" s="4"/>
      <c r="J133" s="4"/>
      <c r="K133" s="4"/>
      <c r="L133" s="4"/>
    </row>
    <row r="134" spans="2:12">
      <c r="B134" s="4"/>
      <c r="C134" s="4"/>
      <c r="D134" s="4"/>
      <c r="E134" s="4"/>
      <c r="F134" s="4"/>
      <c r="G134" s="4"/>
      <c r="H134" s="4"/>
      <c r="I134" s="4"/>
      <c r="J134" s="4"/>
      <c r="K134" s="4"/>
      <c r="L134" s="4"/>
    </row>
    <row r="135" spans="2:12">
      <c r="B135" s="4"/>
      <c r="C135" s="4"/>
      <c r="D135" s="4"/>
      <c r="E135" s="4"/>
      <c r="F135" s="4"/>
      <c r="G135" s="4"/>
      <c r="H135" s="4"/>
      <c r="I135" s="4"/>
      <c r="J135" s="4"/>
      <c r="K135" s="4"/>
      <c r="L135" s="4"/>
    </row>
    <row r="136" spans="2:12">
      <c r="B136" s="4"/>
      <c r="C136" s="4"/>
      <c r="D136" s="4"/>
      <c r="E136" s="4"/>
      <c r="F136" s="4"/>
      <c r="G136" s="4"/>
      <c r="H136" s="4"/>
      <c r="I136" s="4"/>
      <c r="J136" s="4"/>
      <c r="K136" s="4"/>
      <c r="L136" s="4"/>
    </row>
    <row r="137" spans="2:12">
      <c r="B137" s="4"/>
      <c r="C137" s="4"/>
      <c r="D137" s="4"/>
      <c r="E137" s="4"/>
      <c r="F137" s="4"/>
      <c r="G137" s="4"/>
      <c r="H137" s="4"/>
      <c r="I137" s="4"/>
      <c r="J137" s="4"/>
      <c r="K137" s="4"/>
      <c r="L137" s="4"/>
    </row>
    <row r="138" spans="2:12">
      <c r="B138" s="4"/>
      <c r="C138" s="4"/>
      <c r="D138" s="4"/>
      <c r="E138" s="4"/>
      <c r="F138" s="4"/>
      <c r="G138" s="4"/>
      <c r="H138" s="4"/>
      <c r="I138" s="4"/>
      <c r="J138" s="4"/>
      <c r="K138" s="4"/>
      <c r="L138" s="4"/>
    </row>
    <row r="139" spans="2:12">
      <c r="B139" s="4"/>
      <c r="C139" s="4"/>
      <c r="D139" s="4"/>
      <c r="E139" s="4"/>
      <c r="F139" s="4"/>
      <c r="G139" s="4"/>
      <c r="H139" s="4"/>
      <c r="I139" s="4"/>
      <c r="J139" s="4"/>
      <c r="K139" s="4"/>
      <c r="L139" s="4"/>
    </row>
    <row r="140" spans="2:12">
      <c r="B140" s="4"/>
      <c r="C140" s="4"/>
      <c r="D140" s="4"/>
      <c r="E140" s="4"/>
      <c r="F140" s="4"/>
      <c r="G140" s="4"/>
      <c r="H140" s="4"/>
      <c r="I140" s="4"/>
      <c r="J140" s="4"/>
      <c r="K140" s="4"/>
      <c r="L140" s="4"/>
    </row>
    <row r="141" spans="2:12">
      <c r="B141" s="4"/>
      <c r="C141" s="4"/>
      <c r="D141" s="4"/>
      <c r="E141" s="4"/>
      <c r="F141" s="4"/>
      <c r="G141" s="4"/>
      <c r="H141" s="4"/>
      <c r="I141" s="4"/>
      <c r="J141" s="4"/>
      <c r="K141" s="4"/>
      <c r="L141" s="4"/>
    </row>
    <row r="142" spans="2:12">
      <c r="B142" s="4"/>
      <c r="C142" s="4"/>
      <c r="D142" s="4"/>
      <c r="E142" s="4"/>
      <c r="F142" s="4"/>
      <c r="G142" s="4"/>
      <c r="H142" s="4"/>
      <c r="I142" s="4"/>
      <c r="J142" s="4"/>
      <c r="K142" s="4"/>
      <c r="L142" s="4"/>
    </row>
    <row r="143" spans="2:12">
      <c r="B143" s="4"/>
      <c r="C143" s="4"/>
      <c r="D143" s="4"/>
      <c r="E143" s="4"/>
      <c r="F143" s="4"/>
      <c r="G143" s="4"/>
      <c r="H143" s="4"/>
      <c r="I143" s="4"/>
      <c r="J143" s="4"/>
      <c r="K143" s="4"/>
      <c r="L143" s="4"/>
    </row>
    <row r="144" spans="2:12">
      <c r="B144" s="4"/>
      <c r="C144" s="4"/>
      <c r="D144" s="4"/>
      <c r="E144" s="4"/>
      <c r="F144" s="4"/>
      <c r="G144" s="4"/>
      <c r="H144" s="4"/>
      <c r="I144" s="4"/>
      <c r="J144" s="4"/>
      <c r="K144" s="4"/>
      <c r="L144" s="4"/>
    </row>
    <row r="145" spans="2:12">
      <c r="B145" s="4"/>
      <c r="C145" s="4"/>
      <c r="D145" s="4"/>
      <c r="E145" s="4"/>
      <c r="F145" s="4"/>
      <c r="G145" s="4"/>
      <c r="H145" s="4"/>
      <c r="I145" s="4"/>
      <c r="J145" s="4"/>
      <c r="K145" s="4"/>
      <c r="L145" s="4"/>
    </row>
    <row r="146" spans="2:12">
      <c r="B146" s="4"/>
      <c r="C146" s="4"/>
      <c r="D146" s="4"/>
      <c r="E146" s="4"/>
      <c r="F146" s="4"/>
      <c r="G146" s="4"/>
      <c r="H146" s="4"/>
      <c r="I146" s="4"/>
      <c r="J146" s="4"/>
      <c r="K146" s="4"/>
      <c r="L146" s="4"/>
    </row>
    <row r="147" spans="2:12">
      <c r="B147" s="4"/>
      <c r="C147" s="4"/>
      <c r="D147" s="4"/>
      <c r="E147" s="4"/>
      <c r="F147" s="4"/>
      <c r="G147" s="4"/>
      <c r="H147" s="4"/>
      <c r="I147" s="4"/>
      <c r="J147" s="4"/>
      <c r="K147" s="4"/>
      <c r="L147" s="4"/>
    </row>
    <row r="148" spans="2:12">
      <c r="B148" s="4"/>
      <c r="C148" s="4"/>
      <c r="D148" s="4"/>
      <c r="E148" s="4"/>
      <c r="F148" s="4"/>
      <c r="G148" s="4"/>
      <c r="H148" s="4"/>
      <c r="I148" s="4"/>
      <c r="J148" s="4"/>
      <c r="K148" s="4"/>
      <c r="L148" s="4"/>
    </row>
    <row r="149" spans="2:12">
      <c r="B149" s="4"/>
      <c r="C149" s="4"/>
      <c r="D149" s="4"/>
      <c r="E149" s="4"/>
      <c r="F149" s="4"/>
      <c r="G149" s="4"/>
      <c r="H149" s="4"/>
      <c r="I149" s="4"/>
      <c r="J149" s="4"/>
      <c r="K149" s="4"/>
      <c r="L149" s="4"/>
    </row>
    <row r="150" spans="2:12">
      <c r="B150" s="4"/>
      <c r="C150" s="4"/>
      <c r="D150" s="4"/>
      <c r="E150" s="4"/>
      <c r="F150" s="4"/>
      <c r="G150" s="4"/>
      <c r="H150" s="4"/>
      <c r="I150" s="4"/>
      <c r="J150" s="4"/>
      <c r="K150" s="4"/>
      <c r="L150" s="4"/>
    </row>
    <row r="151" spans="2:12">
      <c r="B151" s="4"/>
      <c r="C151" s="4"/>
      <c r="D151" s="4"/>
      <c r="E151" s="4"/>
      <c r="F151" s="4"/>
      <c r="G151" s="4"/>
      <c r="H151" s="4"/>
      <c r="I151" s="4"/>
      <c r="J151" s="4"/>
      <c r="K151" s="4"/>
      <c r="L151" s="4"/>
    </row>
    <row r="152" spans="2:12">
      <c r="B152" s="4"/>
      <c r="C152" s="4"/>
      <c r="D152" s="4"/>
      <c r="E152" s="4"/>
      <c r="F152" s="4"/>
      <c r="G152" s="4"/>
      <c r="H152" s="4"/>
      <c r="I152" s="4"/>
      <c r="J152" s="4"/>
      <c r="K152" s="4"/>
      <c r="L152" s="4"/>
    </row>
    <row r="153" spans="2:12">
      <c r="B153" s="4"/>
      <c r="C153" s="4"/>
      <c r="D153" s="4"/>
      <c r="E153" s="4"/>
      <c r="F153" s="4"/>
      <c r="G153" s="4"/>
      <c r="H153" s="4"/>
      <c r="I153" s="4"/>
      <c r="J153" s="4"/>
      <c r="K153" s="4"/>
      <c r="L153" s="4"/>
    </row>
    <row r="154" spans="2:12">
      <c r="B154" s="4"/>
      <c r="C154" s="4"/>
      <c r="D154" s="4"/>
      <c r="E154" s="4"/>
      <c r="F154" s="4"/>
      <c r="G154" s="4"/>
      <c r="H154" s="4"/>
      <c r="I154" s="4"/>
      <c r="J154" s="4"/>
      <c r="K154" s="4"/>
      <c r="L154" s="4"/>
    </row>
    <row r="155" spans="2:12">
      <c r="B155" s="4"/>
      <c r="C155" s="4"/>
      <c r="D155" s="4"/>
      <c r="E155" s="4"/>
      <c r="F155" s="4"/>
      <c r="G155" s="4"/>
      <c r="H155" s="4"/>
      <c r="I155" s="4"/>
      <c r="J155" s="4"/>
      <c r="K155" s="4"/>
      <c r="L155" s="4"/>
    </row>
    <row r="156" spans="2:12">
      <c r="B156" s="4"/>
      <c r="C156" s="4"/>
      <c r="D156" s="4"/>
      <c r="E156" s="4"/>
      <c r="F156" s="4"/>
      <c r="G156" s="4"/>
      <c r="H156" s="4"/>
      <c r="I156" s="4"/>
      <c r="J156" s="4"/>
      <c r="K156" s="4"/>
      <c r="L156" s="4"/>
    </row>
    <row r="157" spans="2:12">
      <c r="B157" s="4"/>
      <c r="C157" s="4"/>
      <c r="D157" s="4"/>
      <c r="E157" s="4"/>
      <c r="F157" s="4"/>
      <c r="G157" s="4"/>
      <c r="H157" s="4"/>
      <c r="I157" s="4"/>
      <c r="J157" s="4"/>
      <c r="K157" s="4"/>
      <c r="L157" s="4"/>
    </row>
    <row r="158" spans="2:12">
      <c r="B158" s="4"/>
      <c r="C158" s="4"/>
      <c r="D158" s="4"/>
      <c r="E158" s="4"/>
      <c r="F158" s="4"/>
      <c r="G158" s="4"/>
      <c r="H158" s="4"/>
      <c r="I158" s="4"/>
      <c r="J158" s="4"/>
      <c r="K158" s="4"/>
      <c r="L158" s="4"/>
    </row>
    <row r="159" spans="2:12">
      <c r="B159" s="4"/>
      <c r="C159" s="4"/>
      <c r="D159" s="4"/>
      <c r="E159" s="4"/>
      <c r="F159" s="4"/>
      <c r="G159" s="4"/>
      <c r="H159" s="4"/>
      <c r="I159" s="4"/>
      <c r="J159" s="4"/>
      <c r="K159" s="4"/>
      <c r="L159" s="4"/>
    </row>
    <row r="160" spans="2:12">
      <c r="B160" s="4"/>
      <c r="C160" s="4"/>
      <c r="D160" s="4"/>
      <c r="E160" s="4"/>
      <c r="F160" s="4"/>
      <c r="G160" s="4"/>
      <c r="H160" s="4"/>
      <c r="I160" s="4"/>
      <c r="J160" s="4"/>
      <c r="K160" s="4"/>
      <c r="L160" s="4"/>
    </row>
    <row r="161" spans="2:12">
      <c r="B161" s="4"/>
      <c r="C161" s="4"/>
      <c r="D161" s="4"/>
      <c r="E161" s="4"/>
      <c r="F161" s="4"/>
      <c r="G161" s="4"/>
      <c r="H161" s="4"/>
      <c r="I161" s="4"/>
      <c r="J161" s="4"/>
      <c r="K161" s="4"/>
      <c r="L161" s="4"/>
    </row>
    <row r="162" spans="2:12">
      <c r="B162" s="4"/>
      <c r="C162" s="4"/>
      <c r="D162" s="4"/>
      <c r="E162" s="4"/>
      <c r="F162" s="4"/>
      <c r="G162" s="4"/>
      <c r="H162" s="4"/>
      <c r="I162" s="4"/>
      <c r="J162" s="4"/>
      <c r="K162" s="4"/>
      <c r="L162" s="4"/>
    </row>
    <row r="163" spans="2:12">
      <c r="B163" s="4"/>
      <c r="C163" s="4"/>
      <c r="D163" s="4"/>
      <c r="E163" s="4"/>
      <c r="F163" s="4"/>
      <c r="G163" s="4"/>
      <c r="H163" s="4"/>
      <c r="I163" s="4"/>
      <c r="J163" s="4"/>
      <c r="K163" s="4"/>
      <c r="L163" s="4"/>
    </row>
    <row r="164" spans="2:12">
      <c r="B164" s="4"/>
      <c r="C164" s="4"/>
      <c r="D164" s="4"/>
      <c r="E164" s="4"/>
      <c r="F164" s="4"/>
      <c r="G164" s="4"/>
      <c r="H164" s="4"/>
      <c r="I164" s="4"/>
      <c r="J164" s="4"/>
      <c r="K164" s="4"/>
      <c r="L164" s="4"/>
    </row>
    <row r="165" spans="2:12">
      <c r="B165" s="4"/>
      <c r="C165" s="4"/>
      <c r="D165" s="4"/>
      <c r="E165" s="4"/>
      <c r="F165" s="4"/>
      <c r="G165" s="4"/>
      <c r="H165" s="4"/>
      <c r="I165" s="4"/>
      <c r="J165" s="4"/>
      <c r="K165" s="4"/>
      <c r="L165" s="4"/>
    </row>
    <row r="166" spans="2:12">
      <c r="B166" s="4"/>
      <c r="C166" s="4"/>
      <c r="D166" s="4"/>
      <c r="E166" s="4"/>
      <c r="F166" s="4"/>
      <c r="G166" s="4"/>
      <c r="H166" s="4"/>
      <c r="I166" s="4"/>
      <c r="J166" s="4"/>
      <c r="K166" s="4"/>
      <c r="L166" s="4"/>
    </row>
    <row r="167" spans="2:12">
      <c r="B167" s="4"/>
      <c r="C167" s="4"/>
      <c r="D167" s="4"/>
      <c r="E167" s="4"/>
      <c r="F167" s="4"/>
      <c r="G167" s="4"/>
      <c r="H167" s="4"/>
      <c r="I167" s="4"/>
      <c r="J167" s="4"/>
      <c r="K167" s="4"/>
      <c r="L167" s="4"/>
    </row>
    <row r="168" spans="2:12">
      <c r="B168" s="4"/>
      <c r="C168" s="4"/>
      <c r="D168" s="4"/>
      <c r="E168" s="4"/>
      <c r="F168" s="4"/>
      <c r="G168" s="4"/>
      <c r="H168" s="4"/>
      <c r="I168" s="4"/>
      <c r="J168" s="4"/>
      <c r="K168" s="4"/>
      <c r="L168" s="4"/>
    </row>
    <row r="169" spans="2:12">
      <c r="B169" s="4"/>
      <c r="C169" s="4"/>
      <c r="D169" s="4"/>
      <c r="E169" s="4"/>
      <c r="F169" s="4"/>
      <c r="G169" s="4"/>
      <c r="H169" s="4"/>
      <c r="I169" s="4"/>
      <c r="J169" s="4"/>
      <c r="K169" s="4"/>
      <c r="L169" s="4"/>
    </row>
    <row r="170" spans="2:12">
      <c r="B170" s="4"/>
      <c r="C170" s="4"/>
      <c r="D170" s="4"/>
      <c r="E170" s="4"/>
      <c r="F170" s="4"/>
      <c r="G170" s="4"/>
      <c r="H170" s="4"/>
      <c r="I170" s="4"/>
      <c r="J170" s="4"/>
      <c r="K170" s="4"/>
      <c r="L170" s="4"/>
    </row>
    <row r="171" spans="2:12">
      <c r="B171" s="4"/>
      <c r="C171" s="4"/>
      <c r="D171" s="4"/>
      <c r="E171" s="4"/>
      <c r="F171" s="4"/>
      <c r="G171" s="4"/>
      <c r="H171" s="4"/>
      <c r="I171" s="4"/>
      <c r="J171" s="4"/>
      <c r="K171" s="4"/>
      <c r="L171" s="4"/>
    </row>
    <row r="172" spans="2:12">
      <c r="B172" s="4"/>
      <c r="C172" s="4"/>
      <c r="D172" s="4"/>
      <c r="E172" s="4"/>
      <c r="F172" s="4"/>
      <c r="G172" s="4"/>
      <c r="H172" s="4"/>
      <c r="I172" s="4"/>
      <c r="J172" s="4"/>
      <c r="K172" s="4"/>
      <c r="L172" s="4"/>
    </row>
    <row r="173" spans="2:12">
      <c r="B173" s="4"/>
      <c r="C173" s="4"/>
      <c r="D173" s="4"/>
      <c r="E173" s="4"/>
      <c r="F173" s="4"/>
      <c r="G173" s="4"/>
      <c r="H173" s="4"/>
      <c r="I173" s="4"/>
      <c r="J173" s="4"/>
      <c r="K173" s="4"/>
      <c r="L173" s="4"/>
    </row>
    <row r="174" spans="2:12">
      <c r="B174" s="4"/>
      <c r="C174" s="4"/>
      <c r="D174" s="4"/>
      <c r="E174" s="4"/>
      <c r="F174" s="4"/>
      <c r="G174" s="4"/>
      <c r="H174" s="4"/>
      <c r="I174" s="4"/>
      <c r="J174" s="4"/>
      <c r="K174" s="4"/>
      <c r="L174" s="4"/>
    </row>
    <row r="175" spans="2:12">
      <c r="B175" s="4"/>
      <c r="C175" s="4"/>
      <c r="D175" s="4"/>
      <c r="E175" s="4"/>
      <c r="F175" s="4"/>
      <c r="G175" s="4"/>
      <c r="H175" s="4"/>
      <c r="I175" s="4"/>
      <c r="J175" s="4"/>
      <c r="K175" s="4"/>
      <c r="L175" s="4"/>
    </row>
    <row r="176" spans="2:12">
      <c r="B176" s="4"/>
      <c r="C176" s="4"/>
      <c r="D176" s="4"/>
      <c r="E176" s="4"/>
      <c r="F176" s="4"/>
      <c r="G176" s="4"/>
      <c r="H176" s="4"/>
      <c r="I176" s="4"/>
      <c r="J176" s="4"/>
      <c r="K176" s="4"/>
      <c r="L176" s="4"/>
    </row>
    <row r="177" spans="2:12">
      <c r="B177" s="4"/>
      <c r="C177" s="4"/>
      <c r="D177" s="4"/>
      <c r="E177" s="4"/>
      <c r="F177" s="4"/>
      <c r="G177" s="4"/>
      <c r="H177" s="4"/>
      <c r="I177" s="4"/>
      <c r="J177" s="4"/>
      <c r="K177" s="4"/>
      <c r="L177" s="4"/>
    </row>
    <row r="178" spans="2:12">
      <c r="B178" s="4"/>
      <c r="C178" s="4"/>
      <c r="D178" s="4"/>
      <c r="E178" s="4"/>
      <c r="F178" s="4"/>
      <c r="G178" s="4"/>
      <c r="H178" s="4"/>
      <c r="I178" s="4"/>
      <c r="J178" s="4"/>
      <c r="K178" s="4"/>
      <c r="L178" s="4"/>
    </row>
    <row r="179" spans="2:12">
      <c r="B179" s="4"/>
      <c r="C179" s="4"/>
      <c r="D179" s="4"/>
      <c r="E179" s="4"/>
      <c r="F179" s="4"/>
      <c r="G179" s="4"/>
      <c r="H179" s="4"/>
      <c r="I179" s="4"/>
      <c r="J179" s="4"/>
      <c r="K179" s="4"/>
      <c r="L179" s="4"/>
    </row>
    <row r="180" spans="2:12">
      <c r="B180" s="4"/>
      <c r="C180" s="4"/>
      <c r="D180" s="4"/>
      <c r="E180" s="4"/>
      <c r="F180" s="4"/>
      <c r="G180" s="4"/>
      <c r="H180" s="4"/>
      <c r="I180" s="4"/>
      <c r="J180" s="4"/>
      <c r="K180" s="4"/>
      <c r="L180" s="4"/>
    </row>
    <row r="181" spans="2:12">
      <c r="B181" s="4"/>
      <c r="C181" s="4"/>
      <c r="D181" s="4"/>
      <c r="E181" s="4"/>
      <c r="F181" s="4"/>
      <c r="G181" s="4"/>
      <c r="H181" s="4"/>
      <c r="I181" s="4"/>
      <c r="J181" s="4"/>
      <c r="K181" s="4"/>
      <c r="L181" s="4"/>
    </row>
    <row r="182" spans="2:12">
      <c r="B182" s="4"/>
      <c r="C182" s="4"/>
      <c r="D182" s="4"/>
      <c r="E182" s="4"/>
      <c r="F182" s="4"/>
      <c r="G182" s="4"/>
      <c r="H182" s="4"/>
      <c r="I182" s="4"/>
      <c r="J182" s="4"/>
      <c r="K182" s="4"/>
      <c r="L182" s="4"/>
    </row>
    <row r="183" spans="2:12">
      <c r="B183" s="4"/>
      <c r="C183" s="4"/>
      <c r="D183" s="4"/>
      <c r="E183" s="4"/>
      <c r="F183" s="4"/>
      <c r="G183" s="4"/>
      <c r="H183" s="4"/>
      <c r="I183" s="4"/>
      <c r="J183" s="4"/>
      <c r="K183" s="4"/>
      <c r="L183" s="4"/>
    </row>
    <row r="184" spans="2:12">
      <c r="B184" s="4"/>
      <c r="C184" s="4"/>
      <c r="D184" s="4"/>
      <c r="E184" s="4"/>
      <c r="F184" s="4"/>
      <c r="G184" s="4"/>
      <c r="H184" s="4"/>
      <c r="I184" s="4"/>
      <c r="J184" s="4"/>
      <c r="K184" s="4"/>
      <c r="L184" s="4"/>
    </row>
    <row r="185" spans="2:12">
      <c r="B185" s="4"/>
      <c r="C185" s="4"/>
      <c r="D185" s="4"/>
      <c r="E185" s="4"/>
      <c r="F185" s="4"/>
      <c r="G185" s="4"/>
      <c r="H185" s="4"/>
      <c r="I185" s="4"/>
      <c r="J185" s="4"/>
      <c r="K185" s="4"/>
      <c r="L185" s="4"/>
    </row>
    <row r="186" spans="2:12">
      <c r="B186" s="4"/>
      <c r="C186" s="4"/>
      <c r="D186" s="4"/>
      <c r="E186" s="4"/>
      <c r="F186" s="4"/>
      <c r="G186" s="4"/>
      <c r="H186" s="4"/>
      <c r="I186" s="4"/>
      <c r="J186" s="4"/>
      <c r="K186" s="4"/>
      <c r="L186" s="4"/>
    </row>
    <row r="187" spans="2:12">
      <c r="B187" s="4"/>
      <c r="C187" s="4"/>
      <c r="D187" s="4"/>
      <c r="E187" s="4"/>
      <c r="F187" s="4"/>
      <c r="G187" s="4"/>
      <c r="H187" s="4"/>
      <c r="I187" s="4"/>
      <c r="J187" s="4"/>
      <c r="K187" s="4"/>
      <c r="L187" s="4"/>
    </row>
    <row r="188" spans="2:12">
      <c r="B188" s="4"/>
      <c r="C188" s="4"/>
      <c r="D188" s="4"/>
      <c r="E188" s="4"/>
      <c r="F188" s="4"/>
      <c r="G188" s="4"/>
      <c r="H188" s="4"/>
      <c r="I188" s="4"/>
      <c r="J188" s="4"/>
      <c r="K188" s="4"/>
      <c r="L188" s="4"/>
    </row>
    <row r="189" spans="2:12">
      <c r="B189" s="4"/>
      <c r="C189" s="4"/>
      <c r="D189" s="4"/>
      <c r="E189" s="4"/>
      <c r="F189" s="4"/>
      <c r="G189" s="4"/>
      <c r="H189" s="4"/>
      <c r="I189" s="4"/>
      <c r="J189" s="4"/>
      <c r="K189" s="4"/>
      <c r="L189" s="4"/>
    </row>
    <row r="190" spans="2:12" ht="14.25" customHeight="1">
      <c r="B190" s="4"/>
      <c r="C190" s="4"/>
      <c r="D190" s="4"/>
      <c r="E190" s="4"/>
      <c r="F190" s="4"/>
      <c r="G190" s="4"/>
      <c r="H190" s="4"/>
      <c r="I190" s="4"/>
      <c r="J190" s="4"/>
      <c r="K190" s="4"/>
      <c r="L190" s="4"/>
    </row>
    <row r="191" spans="2:12" ht="12.75" customHeight="1">
      <c r="B191" s="4"/>
      <c r="C191" s="4"/>
      <c r="D191" s="4"/>
      <c r="E191" s="4"/>
      <c r="F191" s="4"/>
      <c r="G191" s="4"/>
      <c r="H191" s="4"/>
      <c r="I191" s="4"/>
      <c r="J191" s="4"/>
      <c r="K191" s="4"/>
      <c r="L191" s="4"/>
    </row>
    <row r="192" spans="2:12" ht="12.75" customHeight="1">
      <c r="B192" s="4"/>
      <c r="C192" s="4"/>
      <c r="D192" s="4"/>
      <c r="E192" s="4"/>
      <c r="F192" s="4"/>
      <c r="G192" s="4"/>
      <c r="H192" s="4"/>
      <c r="I192" s="4"/>
      <c r="J192" s="4"/>
      <c r="K192" s="4"/>
      <c r="L192" s="4"/>
    </row>
    <row r="193" spans="2:12" ht="12.75" customHeight="1">
      <c r="B193" s="4"/>
      <c r="C193" s="4"/>
      <c r="D193" s="4"/>
      <c r="E193" s="4"/>
      <c r="F193" s="4"/>
      <c r="G193" s="4"/>
      <c r="H193" s="4"/>
      <c r="I193" s="4"/>
      <c r="J193" s="4"/>
      <c r="K193" s="4"/>
      <c r="L193" s="4"/>
    </row>
    <row r="194" spans="2:12" ht="12.75" customHeight="1">
      <c r="B194" s="4"/>
      <c r="C194" s="4"/>
      <c r="D194" s="4"/>
      <c r="E194" s="4"/>
      <c r="F194" s="4"/>
      <c r="G194" s="4"/>
      <c r="H194" s="4"/>
      <c r="I194" s="4"/>
      <c r="J194" s="4"/>
      <c r="K194" s="4"/>
      <c r="L194" s="4"/>
    </row>
    <row r="195" spans="2:12" ht="12.75" customHeight="1">
      <c r="B195" s="4"/>
      <c r="C195" s="4"/>
      <c r="D195" s="4"/>
      <c r="E195" s="4"/>
      <c r="F195" s="4"/>
      <c r="G195" s="4"/>
      <c r="H195" s="4"/>
      <c r="I195" s="4"/>
      <c r="J195" s="4"/>
      <c r="K195" s="4"/>
      <c r="L195" s="4"/>
    </row>
    <row r="196" spans="2:12" ht="12.75" customHeight="1">
      <c r="B196" s="4"/>
      <c r="C196" s="4"/>
      <c r="D196" s="4"/>
      <c r="E196" s="4"/>
      <c r="F196" s="4"/>
      <c r="G196" s="4"/>
      <c r="H196" s="4"/>
      <c r="I196" s="4"/>
      <c r="J196" s="4"/>
      <c r="K196" s="4"/>
      <c r="L196" s="4"/>
    </row>
    <row r="197" spans="2:12" ht="12.75" customHeight="1">
      <c r="B197" s="4"/>
      <c r="C197" s="4"/>
      <c r="D197" s="4"/>
      <c r="E197" s="4"/>
      <c r="F197" s="4"/>
      <c r="G197" s="4"/>
      <c r="H197" s="4"/>
      <c r="I197" s="4"/>
      <c r="J197" s="4"/>
      <c r="K197" s="4"/>
      <c r="L197" s="4"/>
    </row>
    <row r="198" spans="2:12" ht="12.75" customHeight="1">
      <c r="B198" s="4"/>
      <c r="C198" s="4"/>
      <c r="D198" s="4"/>
      <c r="E198" s="4"/>
      <c r="F198" s="4"/>
      <c r="G198" s="4"/>
      <c r="H198" s="4"/>
      <c r="I198" s="4"/>
      <c r="J198" s="4"/>
      <c r="K198" s="4"/>
      <c r="L198" s="4"/>
    </row>
    <row r="199" spans="2:12" ht="12.75" customHeight="1">
      <c r="B199" s="4"/>
      <c r="C199" s="4"/>
      <c r="D199" s="4"/>
      <c r="E199" s="4"/>
      <c r="F199" s="4"/>
      <c r="G199" s="4"/>
      <c r="H199" s="4"/>
      <c r="I199" s="4"/>
      <c r="J199" s="4"/>
      <c r="K199" s="4"/>
      <c r="L199" s="4"/>
    </row>
    <row r="200" spans="2:12" ht="12.75" customHeight="1">
      <c r="B200" s="4"/>
      <c r="C200" s="4"/>
      <c r="D200" s="4"/>
      <c r="E200" s="4"/>
      <c r="F200" s="4"/>
      <c r="G200" s="4"/>
      <c r="H200" s="4"/>
      <c r="I200" s="4"/>
      <c r="J200" s="4"/>
      <c r="K200" s="4"/>
      <c r="L200" s="4"/>
    </row>
    <row r="201" spans="2:12" ht="12.75" customHeight="1">
      <c r="B201" s="4"/>
      <c r="C201" s="4"/>
      <c r="D201" s="4"/>
      <c r="E201" s="4"/>
      <c r="F201" s="4"/>
      <c r="G201" s="4"/>
      <c r="H201" s="4"/>
      <c r="I201" s="4"/>
      <c r="J201" s="4"/>
      <c r="K201" s="4"/>
      <c r="L201" s="4"/>
    </row>
    <row r="202" spans="2:12" ht="12.75" customHeight="1">
      <c r="B202" s="4"/>
      <c r="C202" s="4"/>
      <c r="D202" s="4"/>
      <c r="E202" s="4"/>
      <c r="F202" s="4"/>
      <c r="G202" s="4"/>
      <c r="H202" s="4"/>
      <c r="I202" s="4"/>
      <c r="J202" s="4"/>
      <c r="K202" s="4"/>
      <c r="L202" s="4"/>
    </row>
    <row r="203" spans="2:12" ht="12.75" customHeight="1">
      <c r="B203" s="4"/>
      <c r="C203" s="4"/>
      <c r="D203" s="4"/>
      <c r="E203" s="4"/>
      <c r="F203" s="4"/>
      <c r="G203" s="4"/>
      <c r="H203" s="4"/>
      <c r="I203" s="4"/>
      <c r="J203" s="4"/>
      <c r="K203" s="4"/>
      <c r="L203" s="4"/>
    </row>
    <row r="204" spans="2:12" ht="12.75" customHeight="1">
      <c r="B204" s="4"/>
      <c r="C204" s="4"/>
      <c r="D204" s="4"/>
      <c r="E204" s="4"/>
      <c r="F204" s="4"/>
      <c r="G204" s="4"/>
      <c r="H204" s="4"/>
      <c r="I204" s="4"/>
      <c r="J204" s="4"/>
      <c r="K204" s="4"/>
      <c r="L204" s="4"/>
    </row>
    <row r="205" spans="2:12" ht="12.75" customHeight="1">
      <c r="B205" s="4"/>
      <c r="C205" s="4"/>
      <c r="D205" s="4"/>
      <c r="E205" s="4"/>
      <c r="F205" s="4"/>
      <c r="G205" s="4"/>
      <c r="H205" s="4"/>
      <c r="I205" s="4"/>
      <c r="J205" s="4"/>
      <c r="K205" s="4"/>
      <c r="L205" s="4"/>
    </row>
    <row r="206" spans="2:12">
      <c r="B206" s="4"/>
      <c r="C206" s="4"/>
      <c r="D206" s="4"/>
      <c r="E206" s="4"/>
      <c r="F206" s="4"/>
      <c r="G206" s="4"/>
      <c r="H206" s="4"/>
      <c r="I206" s="4"/>
      <c r="J206" s="4"/>
      <c r="K206" s="4"/>
      <c r="L206" s="4"/>
    </row>
    <row r="207" spans="2:12">
      <c r="B207" s="4"/>
      <c r="C207" s="4"/>
      <c r="D207" s="4"/>
      <c r="E207" s="4"/>
      <c r="F207" s="4"/>
      <c r="G207" s="4"/>
      <c r="H207" s="4"/>
      <c r="I207" s="4"/>
      <c r="J207" s="4"/>
      <c r="K207" s="4"/>
      <c r="L207" s="4"/>
    </row>
    <row r="208" spans="2:12">
      <c r="B208" s="4"/>
      <c r="C208" s="4"/>
      <c r="D208" s="4"/>
      <c r="E208" s="4"/>
      <c r="F208" s="4"/>
      <c r="G208" s="4"/>
      <c r="H208" s="4"/>
      <c r="I208" s="4"/>
      <c r="J208" s="4"/>
      <c r="K208" s="4"/>
      <c r="L208" s="4"/>
    </row>
    <row r="209" spans="2:12">
      <c r="B209" s="4"/>
      <c r="C209" s="4"/>
      <c r="D209" s="4"/>
      <c r="E209" s="4"/>
      <c r="F209" s="4"/>
      <c r="G209" s="4"/>
      <c r="H209" s="4"/>
      <c r="I209" s="4"/>
      <c r="J209" s="4"/>
      <c r="K209" s="4"/>
      <c r="L209" s="4"/>
    </row>
    <row r="210" spans="2:12">
      <c r="B210" s="4"/>
      <c r="C210" s="4"/>
      <c r="D210" s="4"/>
      <c r="E210" s="4"/>
      <c r="F210" s="4"/>
      <c r="G210" s="4"/>
      <c r="H210" s="4"/>
      <c r="I210" s="4"/>
      <c r="J210" s="4"/>
      <c r="K210" s="4"/>
      <c r="L210" s="4"/>
    </row>
    <row r="211" spans="2:12">
      <c r="B211" s="4"/>
      <c r="C211" s="4"/>
      <c r="D211" s="4"/>
      <c r="E211" s="4"/>
      <c r="F211" s="4"/>
      <c r="G211" s="4"/>
      <c r="H211" s="4"/>
      <c r="I211" s="4"/>
      <c r="J211" s="4"/>
      <c r="K211" s="4"/>
      <c r="L211" s="4"/>
    </row>
    <row r="212" spans="2:12">
      <c r="B212" s="4"/>
      <c r="C212" s="4"/>
      <c r="D212" s="4"/>
      <c r="E212" s="4"/>
      <c r="F212" s="4"/>
      <c r="G212" s="4"/>
      <c r="H212" s="4"/>
      <c r="I212" s="4"/>
      <c r="J212" s="4"/>
      <c r="K212" s="4"/>
      <c r="L212" s="4"/>
    </row>
    <row r="213" spans="2:12">
      <c r="B213" s="4"/>
      <c r="C213" s="4"/>
      <c r="D213" s="4"/>
      <c r="E213" s="4"/>
      <c r="F213" s="4"/>
      <c r="G213" s="4"/>
      <c r="H213" s="4"/>
      <c r="I213" s="4"/>
      <c r="J213" s="4"/>
      <c r="K213" s="4"/>
      <c r="L213" s="4"/>
    </row>
    <row r="214" spans="2:12">
      <c r="B214" s="4"/>
      <c r="C214" s="4"/>
      <c r="D214" s="4"/>
      <c r="E214" s="4"/>
      <c r="F214" s="4"/>
      <c r="G214" s="4"/>
      <c r="H214" s="4"/>
      <c r="I214" s="4"/>
      <c r="J214" s="4"/>
      <c r="K214" s="4"/>
      <c r="L214" s="4"/>
    </row>
    <row r="215" spans="2:12">
      <c r="B215" s="4"/>
      <c r="C215" s="4"/>
      <c r="D215" s="4"/>
      <c r="E215" s="4"/>
      <c r="F215" s="4"/>
      <c r="G215" s="4"/>
      <c r="H215" s="4"/>
      <c r="I215" s="4"/>
      <c r="J215" s="4"/>
      <c r="K215" s="4"/>
      <c r="L215" s="4"/>
    </row>
    <row r="216" spans="2:12">
      <c r="B216" s="4"/>
      <c r="C216" s="4"/>
      <c r="D216" s="4"/>
      <c r="E216" s="4"/>
      <c r="F216" s="4"/>
      <c r="G216" s="4"/>
      <c r="H216" s="4"/>
      <c r="I216" s="4"/>
      <c r="J216" s="4"/>
      <c r="K216" s="4"/>
      <c r="L216" s="4"/>
    </row>
    <row r="217" spans="2:12">
      <c r="B217" s="4"/>
      <c r="C217" s="4"/>
      <c r="D217" s="4"/>
      <c r="E217" s="4"/>
      <c r="F217" s="4"/>
      <c r="G217" s="4"/>
      <c r="H217" s="4"/>
      <c r="I217" s="4"/>
      <c r="J217" s="4"/>
      <c r="K217" s="4"/>
      <c r="L217" s="4"/>
    </row>
    <row r="218" spans="2:12">
      <c r="B218" s="4"/>
      <c r="C218" s="4"/>
      <c r="D218" s="4"/>
      <c r="E218" s="4"/>
      <c r="F218" s="4"/>
      <c r="G218" s="4"/>
      <c r="H218" s="4"/>
      <c r="I218" s="4"/>
      <c r="J218" s="4"/>
      <c r="K218" s="4"/>
      <c r="L218" s="4"/>
    </row>
    <row r="219" spans="2:12">
      <c r="B219" s="4"/>
      <c r="C219" s="4"/>
      <c r="D219" s="4"/>
      <c r="E219" s="4"/>
      <c r="F219" s="4"/>
      <c r="G219" s="4"/>
      <c r="H219" s="4"/>
      <c r="I219" s="4"/>
      <c r="J219" s="4"/>
      <c r="K219" s="4"/>
      <c r="L219" s="4"/>
    </row>
    <row r="220" spans="2:12">
      <c r="B220" s="4"/>
      <c r="C220" s="4"/>
      <c r="D220" s="4"/>
      <c r="E220" s="4"/>
      <c r="F220" s="4"/>
      <c r="G220" s="4"/>
      <c r="H220" s="4"/>
      <c r="I220" s="4"/>
      <c r="J220" s="4"/>
      <c r="K220" s="4"/>
      <c r="L220" s="4"/>
    </row>
    <row r="221" spans="2:12">
      <c r="B221" s="4"/>
      <c r="C221" s="4"/>
      <c r="D221" s="4"/>
      <c r="E221" s="4"/>
      <c r="F221" s="4"/>
      <c r="G221" s="4"/>
      <c r="H221" s="4"/>
      <c r="I221" s="4"/>
      <c r="J221" s="4"/>
      <c r="K221" s="4"/>
      <c r="L221" s="4"/>
    </row>
    <row r="222" spans="2:12">
      <c r="B222" s="4"/>
      <c r="C222" s="4"/>
      <c r="D222" s="4"/>
      <c r="E222" s="4"/>
      <c r="F222" s="4"/>
      <c r="G222" s="4"/>
      <c r="H222" s="4"/>
      <c r="I222" s="4"/>
      <c r="J222" s="4"/>
      <c r="K222" s="4"/>
      <c r="L222" s="4"/>
    </row>
    <row r="223" spans="2:12">
      <c r="B223" s="4"/>
      <c r="C223" s="4"/>
      <c r="D223" s="4"/>
      <c r="E223" s="4"/>
      <c r="F223" s="4"/>
      <c r="G223" s="4"/>
      <c r="H223" s="4"/>
      <c r="I223" s="4"/>
      <c r="J223" s="4"/>
      <c r="K223" s="4"/>
      <c r="L223" s="4"/>
    </row>
  </sheetData>
  <mergeCells count="8">
    <mergeCell ref="C54:I55"/>
    <mergeCell ref="A3:I3"/>
    <mergeCell ref="A4:I4"/>
    <mergeCell ref="A5:I5"/>
    <mergeCell ref="E10:E11"/>
    <mergeCell ref="A6:I6"/>
    <mergeCell ref="G10:G11"/>
    <mergeCell ref="I10:I11"/>
  </mergeCells>
  <phoneticPr fontId="0" type="noConversion"/>
  <pageMargins left="0.26" right="0.59" top="1" bottom="1" header="0.75" footer="0.5"/>
  <pageSetup orientation="portrait" r:id="rId1"/>
  <headerFooter alignWithMargins="0">
    <oddHeader>&amp;R&amp;"Arial,Bold"Formula Rate
 &amp;A
Page &amp;P of &amp;N</oddHeader>
  </headerFooter>
  <rowBreaks count="1" manualBreakCount="1">
    <brk id="62"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dimension ref="A1:K57"/>
  <sheetViews>
    <sheetView tabSelected="1" view="pageBreakPreview" topLeftCell="A4" zoomScale="60" zoomScaleNormal="100" workbookViewId="0">
      <selection activeCell="F7" sqref="F7"/>
    </sheetView>
  </sheetViews>
  <sheetFormatPr defaultRowHeight="12.75"/>
  <cols>
    <col min="1" max="1" width="27" customWidth="1"/>
    <col min="4" max="4" width="27" customWidth="1"/>
    <col min="6" max="6" width="13.140625" customWidth="1"/>
    <col min="8" max="8" width="21.5703125" customWidth="1"/>
    <col min="9" max="9" width="14.85546875" customWidth="1"/>
    <col min="11" max="11" width="18.5703125" customWidth="1"/>
  </cols>
  <sheetData>
    <row r="1" spans="1:11" ht="15.75">
      <c r="A1" s="1347" t="s">
        <v>387</v>
      </c>
      <c r="B1" s="1347"/>
      <c r="C1" s="1347"/>
      <c r="D1" s="1347"/>
      <c r="E1" s="1347"/>
      <c r="F1" s="1347"/>
      <c r="G1" s="1347"/>
      <c r="H1" s="1347"/>
      <c r="I1" s="1347"/>
      <c r="J1" s="1347"/>
      <c r="K1" s="1347"/>
    </row>
    <row r="2" spans="1:11" ht="15.75">
      <c r="A2" s="1346" t="s">
        <v>567</v>
      </c>
      <c r="B2" s="1346"/>
      <c r="C2" s="1346"/>
      <c r="D2" s="1346"/>
      <c r="E2" s="1346"/>
      <c r="F2" s="1346"/>
      <c r="G2" s="1346"/>
      <c r="H2" s="1346"/>
      <c r="I2" s="1346"/>
      <c r="J2" s="1346"/>
      <c r="K2" s="1346"/>
    </row>
    <row r="3" spans="1:11" ht="15.75">
      <c r="A3" s="1346" t="s">
        <v>568</v>
      </c>
      <c r="B3" s="1346"/>
      <c r="C3" s="1346"/>
      <c r="D3" s="1346"/>
      <c r="E3" s="1346"/>
      <c r="F3" s="1346"/>
      <c r="G3" s="1346"/>
      <c r="H3" s="1346"/>
      <c r="I3" s="1346"/>
      <c r="J3" s="1346"/>
      <c r="K3" s="1346"/>
    </row>
    <row r="4" spans="1:11" ht="15.75">
      <c r="A4" s="2"/>
      <c r="B4" s="2"/>
      <c r="C4" s="2"/>
      <c r="D4" s="1346"/>
      <c r="E4" s="1346"/>
      <c r="F4" s="1346"/>
      <c r="G4" s="1346"/>
      <c r="H4" s="2"/>
      <c r="I4" s="2"/>
      <c r="J4" s="2"/>
      <c r="K4" s="2"/>
    </row>
    <row r="7" spans="1:11" ht="16.5" thickBot="1">
      <c r="A7" s="577"/>
      <c r="B7" s="578"/>
      <c r="C7" s="578"/>
      <c r="D7" s="578"/>
      <c r="E7" s="578"/>
      <c r="F7" s="578"/>
      <c r="G7" s="578"/>
      <c r="H7" s="578"/>
      <c r="I7" s="578"/>
      <c r="J7" s="578"/>
      <c r="K7" s="578"/>
    </row>
    <row r="8" spans="1:11" ht="47.25">
      <c r="A8" s="579" t="str">
        <f>"Reconciliation Revenue Requirement For Year 2018 Available May 25, 2019"</f>
        <v>Reconciliation Revenue Requirement For Year 2018 Available May 25, 2019</v>
      </c>
      <c r="B8" s="578"/>
      <c r="C8" s="578"/>
      <c r="D8" s="579" t="s">
        <v>1067</v>
      </c>
      <c r="E8" s="578"/>
      <c r="F8" s="578"/>
      <c r="G8" s="2"/>
      <c r="H8" s="579" t="s">
        <v>548</v>
      </c>
      <c r="I8" s="2"/>
      <c r="J8" s="2"/>
      <c r="K8" s="2"/>
    </row>
    <row r="9" spans="1:11" ht="15.75">
      <c r="A9" s="580" t="s">
        <v>114</v>
      </c>
      <c r="B9" s="578"/>
      <c r="C9" s="578"/>
      <c r="D9" s="580"/>
      <c r="E9" s="578"/>
      <c r="F9" s="578"/>
      <c r="G9" s="2"/>
      <c r="H9" s="581"/>
      <c r="I9" s="2"/>
      <c r="J9" s="2"/>
      <c r="K9" s="2"/>
    </row>
    <row r="10" spans="1:11" ht="16.5" thickBot="1">
      <c r="A10" s="660">
        <v>0</v>
      </c>
      <c r="B10" s="582" t="str">
        <f>"-"</f>
        <v>-</v>
      </c>
      <c r="C10" s="583"/>
      <c r="D10" s="660">
        <v>0</v>
      </c>
      <c r="E10" s="584"/>
      <c r="F10" s="585" t="str">
        <f>"="</f>
        <v>=</v>
      </c>
      <c r="G10" s="586"/>
      <c r="H10" s="587">
        <f>IF(A10=0,0,D10-A10)</f>
        <v>0</v>
      </c>
      <c r="I10" s="2"/>
      <c r="J10" s="2"/>
      <c r="K10" s="2"/>
    </row>
    <row r="11" spans="1:11" ht="15.75">
      <c r="A11" s="588"/>
      <c r="B11" s="589"/>
      <c r="C11" s="589"/>
      <c r="D11" s="588"/>
      <c r="E11" s="588"/>
      <c r="F11" s="589"/>
      <c r="G11" s="588"/>
      <c r="H11" s="2"/>
      <c r="I11" s="2"/>
      <c r="J11" s="2"/>
      <c r="K11" s="2"/>
    </row>
    <row r="12" spans="1:11" ht="16.5" thickBot="1">
      <c r="A12" s="590"/>
      <c r="B12" s="591"/>
      <c r="C12" s="591"/>
      <c r="D12" s="590"/>
      <c r="E12" s="590"/>
      <c r="F12" s="591"/>
      <c r="G12" s="590"/>
      <c r="H12" s="592"/>
      <c r="I12" s="592"/>
      <c r="J12" s="592"/>
      <c r="K12" s="592"/>
    </row>
    <row r="13" spans="1:11" ht="15.75">
      <c r="A13" s="593"/>
      <c r="B13" s="589"/>
      <c r="C13" s="589"/>
      <c r="D13" s="588"/>
      <c r="E13" s="588"/>
      <c r="F13" s="589"/>
      <c r="G13" s="588"/>
      <c r="H13" s="2"/>
      <c r="I13" s="2"/>
      <c r="J13" s="2"/>
      <c r="K13" s="2"/>
    </row>
    <row r="14" spans="1:11" ht="47.25">
      <c r="A14" s="594" t="s">
        <v>549</v>
      </c>
      <c r="B14" s="589"/>
      <c r="C14" s="589"/>
      <c r="D14" s="595" t="s">
        <v>550</v>
      </c>
      <c r="E14" s="588"/>
      <c r="F14" s="595" t="s">
        <v>551</v>
      </c>
      <c r="G14" s="596" t="s">
        <v>552</v>
      </c>
      <c r="H14" s="597" t="s">
        <v>553</v>
      </c>
      <c r="I14" s="595" t="s">
        <v>554</v>
      </c>
      <c r="J14" s="598"/>
      <c r="K14" s="595" t="s">
        <v>555</v>
      </c>
    </row>
    <row r="15" spans="1:11" ht="15.75">
      <c r="A15" s="594" t="s">
        <v>556</v>
      </c>
      <c r="B15" s="589"/>
      <c r="C15" s="589"/>
      <c r="D15" s="2"/>
      <c r="E15" s="599"/>
      <c r="F15" s="929">
        <f>'WS Q NITS'!F15</f>
        <v>4.0949999999999997E-3</v>
      </c>
      <c r="H15" s="2"/>
      <c r="I15" s="2"/>
      <c r="J15" s="2"/>
      <c r="K15" s="2"/>
    </row>
    <row r="16" spans="1:11" ht="15.75">
      <c r="A16" s="594"/>
      <c r="B16" s="589"/>
      <c r="C16" s="589"/>
      <c r="D16" s="2"/>
      <c r="E16" s="599"/>
      <c r="F16" s="599"/>
      <c r="G16" s="588"/>
      <c r="H16" s="2"/>
      <c r="I16" s="2"/>
      <c r="J16" s="2"/>
      <c r="K16" s="2"/>
    </row>
    <row r="17" spans="1:11" ht="15.75">
      <c r="A17" s="594" t="s">
        <v>1068</v>
      </c>
      <c r="B17" s="589"/>
      <c r="C17" s="589"/>
      <c r="D17" s="2"/>
      <c r="E17" s="599"/>
      <c r="F17" s="599"/>
      <c r="G17" s="588"/>
      <c r="H17" s="2"/>
      <c r="I17" s="2"/>
      <c r="J17" s="2"/>
      <c r="K17" s="2"/>
    </row>
    <row r="18" spans="1:11" ht="15.75">
      <c r="A18" s="600" t="s">
        <v>114</v>
      </c>
      <c r="B18" s="589"/>
      <c r="C18" s="589"/>
      <c r="D18" s="589"/>
      <c r="E18" s="589"/>
      <c r="F18" s="589" t="s">
        <v>114</v>
      </c>
      <c r="G18" s="2"/>
      <c r="H18" s="2"/>
      <c r="I18" s="2"/>
      <c r="J18" s="2"/>
      <c r="K18" s="2"/>
    </row>
    <row r="19" spans="1:11" ht="15.75">
      <c r="A19" s="601"/>
      <c r="B19" s="589"/>
      <c r="C19" s="589"/>
      <c r="D19" s="589"/>
      <c r="E19" s="589"/>
      <c r="F19" s="2"/>
      <c r="G19" s="2"/>
      <c r="H19" s="596"/>
      <c r="I19" s="589"/>
      <c r="J19" s="589"/>
      <c r="K19" s="589"/>
    </row>
    <row r="20" spans="1:11" ht="15.75">
      <c r="A20" s="601" t="s">
        <v>557</v>
      </c>
      <c r="B20" s="589"/>
      <c r="C20" s="589"/>
      <c r="D20" s="589"/>
      <c r="E20" s="589"/>
      <c r="F20" s="2"/>
      <c r="G20" s="2"/>
      <c r="H20" s="596" t="s">
        <v>558</v>
      </c>
      <c r="I20" s="589"/>
      <c r="J20" s="589"/>
      <c r="K20" s="589"/>
    </row>
    <row r="21" spans="1:11" ht="15.75">
      <c r="A21" s="578" t="s">
        <v>185</v>
      </c>
      <c r="B21" s="578" t="str">
        <f>"Year 2018"</f>
        <v>Year 2018</v>
      </c>
      <c r="C21" s="578"/>
      <c r="D21" s="602">
        <f>H10/12</f>
        <v>0</v>
      </c>
      <c r="E21" s="602"/>
      <c r="F21" s="603">
        <f>+F15</f>
        <v>4.0949999999999997E-3</v>
      </c>
      <c r="G21" s="578">
        <v>12</v>
      </c>
      <c r="H21" s="602">
        <f>F21*D21*G21*-1</f>
        <v>0</v>
      </c>
      <c r="I21" s="602"/>
      <c r="J21" s="602"/>
      <c r="K21" s="602">
        <f>(-H21+D21)*-1</f>
        <v>0</v>
      </c>
    </row>
    <row r="22" spans="1:11" ht="15.75">
      <c r="A22" s="578" t="s">
        <v>559</v>
      </c>
      <c r="B22" s="578" t="str">
        <f>B21</f>
        <v>Year 2018</v>
      </c>
      <c r="C22" s="578"/>
      <c r="D22" s="602">
        <f>+D21</f>
        <v>0</v>
      </c>
      <c r="E22" s="602"/>
      <c r="F22" s="603">
        <f>+F21</f>
        <v>4.0949999999999997E-3</v>
      </c>
      <c r="G22" s="578">
        <f t="shared" ref="G22:G32" si="0">+G21-1</f>
        <v>11</v>
      </c>
      <c r="H22" s="602">
        <f t="shared" ref="H22:H32" si="1">F22*D22*G22*-1</f>
        <v>0</v>
      </c>
      <c r="I22" s="602"/>
      <c r="J22" s="602"/>
      <c r="K22" s="602">
        <f t="shared" ref="K22:K32" si="2">(-H22+D22)*-1</f>
        <v>0</v>
      </c>
    </row>
    <row r="23" spans="1:11" ht="15.75">
      <c r="A23" s="578" t="s">
        <v>186</v>
      </c>
      <c r="B23" s="578" t="str">
        <f t="shared" ref="B23:B32" si="3">B22</f>
        <v>Year 2018</v>
      </c>
      <c r="C23" s="578"/>
      <c r="D23" s="602">
        <f t="shared" ref="D23:D32" si="4">+D22</f>
        <v>0</v>
      </c>
      <c r="E23" s="602"/>
      <c r="F23" s="603">
        <f t="shared" ref="F23:F32" si="5">+F22</f>
        <v>4.0949999999999997E-3</v>
      </c>
      <c r="G23" s="578">
        <f t="shared" si="0"/>
        <v>10</v>
      </c>
      <c r="H23" s="602">
        <f t="shared" si="1"/>
        <v>0</v>
      </c>
      <c r="I23" s="602"/>
      <c r="J23" s="602"/>
      <c r="K23" s="602">
        <f t="shared" si="2"/>
        <v>0</v>
      </c>
    </row>
    <row r="24" spans="1:11" ht="15.75">
      <c r="A24" s="578" t="s">
        <v>187</v>
      </c>
      <c r="B24" s="578" t="str">
        <f t="shared" si="3"/>
        <v>Year 2018</v>
      </c>
      <c r="C24" s="578"/>
      <c r="D24" s="602">
        <f t="shared" si="4"/>
        <v>0</v>
      </c>
      <c r="E24" s="602"/>
      <c r="F24" s="603">
        <f t="shared" si="5"/>
        <v>4.0949999999999997E-3</v>
      </c>
      <c r="G24" s="578">
        <f t="shared" si="0"/>
        <v>9</v>
      </c>
      <c r="H24" s="602">
        <f t="shared" si="1"/>
        <v>0</v>
      </c>
      <c r="I24" s="602"/>
      <c r="J24" s="602"/>
      <c r="K24" s="602">
        <f t="shared" si="2"/>
        <v>0</v>
      </c>
    </row>
    <row r="25" spans="1:11" ht="15.75">
      <c r="A25" s="578" t="s">
        <v>188</v>
      </c>
      <c r="B25" s="578" t="str">
        <f t="shared" si="3"/>
        <v>Year 2018</v>
      </c>
      <c r="C25" s="578"/>
      <c r="D25" s="602">
        <f t="shared" si="4"/>
        <v>0</v>
      </c>
      <c r="E25" s="602"/>
      <c r="F25" s="603">
        <f t="shared" si="5"/>
        <v>4.0949999999999997E-3</v>
      </c>
      <c r="G25" s="578">
        <f t="shared" si="0"/>
        <v>8</v>
      </c>
      <c r="H25" s="602">
        <f t="shared" si="1"/>
        <v>0</v>
      </c>
      <c r="I25" s="602"/>
      <c r="J25" s="602"/>
      <c r="K25" s="602">
        <f t="shared" si="2"/>
        <v>0</v>
      </c>
    </row>
    <row r="26" spans="1:11" ht="15.75">
      <c r="A26" s="578" t="s">
        <v>382</v>
      </c>
      <c r="B26" s="578" t="str">
        <f t="shared" si="3"/>
        <v>Year 2018</v>
      </c>
      <c r="C26" s="578"/>
      <c r="D26" s="602">
        <f t="shared" si="4"/>
        <v>0</v>
      </c>
      <c r="E26" s="602"/>
      <c r="F26" s="603">
        <f t="shared" si="5"/>
        <v>4.0949999999999997E-3</v>
      </c>
      <c r="G26" s="578">
        <f t="shared" si="0"/>
        <v>7</v>
      </c>
      <c r="H26" s="602">
        <f t="shared" si="1"/>
        <v>0</v>
      </c>
      <c r="I26" s="602"/>
      <c r="J26" s="602"/>
      <c r="K26" s="602">
        <f t="shared" si="2"/>
        <v>0</v>
      </c>
    </row>
    <row r="27" spans="1:11" ht="15.75">
      <c r="A27" s="578" t="s">
        <v>189</v>
      </c>
      <c r="B27" s="578" t="str">
        <f t="shared" si="3"/>
        <v>Year 2018</v>
      </c>
      <c r="C27" s="578"/>
      <c r="D27" s="602">
        <f t="shared" si="4"/>
        <v>0</v>
      </c>
      <c r="E27" s="602"/>
      <c r="F27" s="603">
        <f t="shared" si="5"/>
        <v>4.0949999999999997E-3</v>
      </c>
      <c r="G27" s="578">
        <f t="shared" si="0"/>
        <v>6</v>
      </c>
      <c r="H27" s="602">
        <f t="shared" si="1"/>
        <v>0</v>
      </c>
      <c r="I27" s="602"/>
      <c r="J27" s="602"/>
      <c r="K27" s="602">
        <f t="shared" si="2"/>
        <v>0</v>
      </c>
    </row>
    <row r="28" spans="1:11" ht="15.75">
      <c r="A28" s="578" t="s">
        <v>190</v>
      </c>
      <c r="B28" s="578" t="str">
        <f t="shared" si="3"/>
        <v>Year 2018</v>
      </c>
      <c r="C28" s="578"/>
      <c r="D28" s="602">
        <f t="shared" si="4"/>
        <v>0</v>
      </c>
      <c r="E28" s="602"/>
      <c r="F28" s="603">
        <f t="shared" si="5"/>
        <v>4.0949999999999997E-3</v>
      </c>
      <c r="G28" s="578">
        <f t="shared" si="0"/>
        <v>5</v>
      </c>
      <c r="H28" s="602">
        <f t="shared" si="1"/>
        <v>0</v>
      </c>
      <c r="I28" s="602"/>
      <c r="J28" s="602"/>
      <c r="K28" s="602">
        <f t="shared" si="2"/>
        <v>0</v>
      </c>
    </row>
    <row r="29" spans="1:11" ht="15.75">
      <c r="A29" s="578" t="s">
        <v>192</v>
      </c>
      <c r="B29" s="578" t="str">
        <f t="shared" si="3"/>
        <v>Year 2018</v>
      </c>
      <c r="C29" s="578"/>
      <c r="D29" s="602">
        <f t="shared" si="4"/>
        <v>0</v>
      </c>
      <c r="E29" s="602"/>
      <c r="F29" s="603">
        <f t="shared" si="5"/>
        <v>4.0949999999999997E-3</v>
      </c>
      <c r="G29" s="578">
        <f t="shared" si="0"/>
        <v>4</v>
      </c>
      <c r="H29" s="602">
        <f t="shared" si="1"/>
        <v>0</v>
      </c>
      <c r="I29" s="602"/>
      <c r="J29" s="602"/>
      <c r="K29" s="602">
        <f t="shared" si="2"/>
        <v>0</v>
      </c>
    </row>
    <row r="30" spans="1:11" ht="15.75">
      <c r="A30" s="578" t="s">
        <v>560</v>
      </c>
      <c r="B30" s="578" t="str">
        <f t="shared" si="3"/>
        <v>Year 2018</v>
      </c>
      <c r="C30" s="578"/>
      <c r="D30" s="602">
        <f t="shared" si="4"/>
        <v>0</v>
      </c>
      <c r="E30" s="602"/>
      <c r="F30" s="603">
        <f t="shared" si="5"/>
        <v>4.0949999999999997E-3</v>
      </c>
      <c r="G30" s="578">
        <f t="shared" si="0"/>
        <v>3</v>
      </c>
      <c r="H30" s="602">
        <f t="shared" si="1"/>
        <v>0</v>
      </c>
      <c r="I30" s="602"/>
      <c r="J30" s="602"/>
      <c r="K30" s="602">
        <f t="shared" si="2"/>
        <v>0</v>
      </c>
    </row>
    <row r="31" spans="1:11" ht="15.75">
      <c r="A31" s="578" t="s">
        <v>561</v>
      </c>
      <c r="B31" s="578" t="str">
        <f t="shared" si="3"/>
        <v>Year 2018</v>
      </c>
      <c r="C31" s="578"/>
      <c r="D31" s="602">
        <f t="shared" si="4"/>
        <v>0</v>
      </c>
      <c r="E31" s="602"/>
      <c r="F31" s="603">
        <f t="shared" si="5"/>
        <v>4.0949999999999997E-3</v>
      </c>
      <c r="G31" s="578">
        <f t="shared" si="0"/>
        <v>2</v>
      </c>
      <c r="H31" s="602">
        <f t="shared" si="1"/>
        <v>0</v>
      </c>
      <c r="I31" s="602"/>
      <c r="J31" s="602"/>
      <c r="K31" s="602">
        <f t="shared" si="2"/>
        <v>0</v>
      </c>
    </row>
    <row r="32" spans="1:11" ht="15.75">
      <c r="A32" s="578" t="s">
        <v>191</v>
      </c>
      <c r="B32" s="578" t="str">
        <f t="shared" si="3"/>
        <v>Year 2018</v>
      </c>
      <c r="C32" s="578"/>
      <c r="D32" s="602">
        <f t="shared" si="4"/>
        <v>0</v>
      </c>
      <c r="E32" s="602"/>
      <c r="F32" s="603">
        <f t="shared" si="5"/>
        <v>4.0949999999999997E-3</v>
      </c>
      <c r="G32" s="578">
        <f t="shared" si="0"/>
        <v>1</v>
      </c>
      <c r="H32" s="604">
        <f t="shared" si="1"/>
        <v>0</v>
      </c>
      <c r="I32" s="602"/>
      <c r="J32" s="602"/>
      <c r="K32" s="602">
        <f t="shared" si="2"/>
        <v>0</v>
      </c>
    </row>
    <row r="33" spans="1:11" ht="15.75">
      <c r="A33" s="578"/>
      <c r="B33" s="578"/>
      <c r="C33" s="578"/>
      <c r="D33" s="602"/>
      <c r="E33" s="602"/>
      <c r="F33" s="603"/>
      <c r="G33" s="578"/>
      <c r="H33" s="602">
        <f>SUM(H21:H32)</f>
        <v>0</v>
      </c>
      <c r="I33" s="602"/>
      <c r="J33" s="602"/>
      <c r="K33" s="605">
        <f>SUM(K21:K32)</f>
        <v>0</v>
      </c>
    </row>
    <row r="34" spans="1:11" ht="15.75">
      <c r="A34" s="578"/>
      <c r="B34" s="578"/>
      <c r="C34" s="578"/>
      <c r="D34" s="602"/>
      <c r="E34" s="602"/>
      <c r="F34" s="603"/>
      <c r="G34" s="578"/>
      <c r="H34" s="602"/>
      <c r="I34" s="602" t="s">
        <v>114</v>
      </c>
      <c r="J34" s="602"/>
      <c r="K34" s="2"/>
    </row>
    <row r="35" spans="1:11" ht="15.75">
      <c r="A35" s="578"/>
      <c r="B35" s="578"/>
      <c r="C35" s="578"/>
      <c r="D35" s="588"/>
      <c r="E35" s="588"/>
      <c r="F35" s="603"/>
      <c r="G35" s="578"/>
      <c r="H35" s="606" t="s">
        <v>562</v>
      </c>
      <c r="I35" s="602"/>
      <c r="J35" s="602"/>
      <c r="K35" s="602"/>
    </row>
    <row r="36" spans="1:11" ht="15.75">
      <c r="A36" s="578" t="s">
        <v>563</v>
      </c>
      <c r="B36" s="578" t="str">
        <f>"Year 2019"</f>
        <v>Year 2019</v>
      </c>
      <c r="C36" s="578"/>
      <c r="D36" s="588">
        <f>K33</f>
        <v>0</v>
      </c>
      <c r="E36" s="588"/>
      <c r="F36" s="603">
        <f>+F32</f>
        <v>4.0949999999999997E-3</v>
      </c>
      <c r="G36" s="578">
        <v>12</v>
      </c>
      <c r="H36" s="602">
        <f>+G36*F36*D36</f>
        <v>0</v>
      </c>
      <c r="I36" s="602"/>
      <c r="J36" s="602"/>
      <c r="K36" s="605">
        <f>+D36+H36</f>
        <v>0</v>
      </c>
    </row>
    <row r="37" spans="1:11" ht="15.75">
      <c r="A37" s="578"/>
      <c r="B37" s="578"/>
      <c r="C37" s="578"/>
      <c r="D37" s="588"/>
      <c r="E37" s="588"/>
      <c r="F37" s="603"/>
      <c r="G37" s="578"/>
      <c r="H37" s="602"/>
      <c r="I37" s="602"/>
      <c r="J37" s="602"/>
      <c r="K37" s="602"/>
    </row>
    <row r="38" spans="1:11" ht="15.75">
      <c r="A38" s="607" t="s">
        <v>564</v>
      </c>
      <c r="B38" s="578"/>
      <c r="C38" s="578"/>
      <c r="D38" s="602"/>
      <c r="E38" s="602"/>
      <c r="F38" s="603"/>
      <c r="G38" s="578"/>
      <c r="H38" s="606" t="s">
        <v>558</v>
      </c>
      <c r="I38" s="602"/>
      <c r="J38" s="602"/>
      <c r="K38" s="602"/>
    </row>
    <row r="39" spans="1:11" ht="15.75">
      <c r="A39" s="578" t="s">
        <v>185</v>
      </c>
      <c r="B39" s="578" t="str">
        <f>"Year 2020"</f>
        <v>Year 2020</v>
      </c>
      <c r="C39" s="578"/>
      <c r="D39" s="588">
        <f>-K36</f>
        <v>0</v>
      </c>
      <c r="E39" s="588"/>
      <c r="F39" s="603">
        <f>+F32</f>
        <v>4.0949999999999997E-3</v>
      </c>
      <c r="G39" s="578"/>
      <c r="H39" s="602">
        <f xml:space="preserve"> -F39*D39</f>
        <v>0</v>
      </c>
      <c r="I39" s="602">
        <f>PMT(F39,12,K$36)</f>
        <v>0</v>
      </c>
      <c r="J39" s="602"/>
      <c r="K39" s="602">
        <f>(+D39+D39*F39-I39)*-1</f>
        <v>0</v>
      </c>
    </row>
    <row r="40" spans="1:11" ht="15.75">
      <c r="A40" s="578" t="s">
        <v>559</v>
      </c>
      <c r="B40" s="578" t="str">
        <f>+B39</f>
        <v>Year 2020</v>
      </c>
      <c r="C40" s="578"/>
      <c r="D40" s="588">
        <f>-K39</f>
        <v>0</v>
      </c>
      <c r="E40" s="588"/>
      <c r="F40" s="603">
        <f>+F39</f>
        <v>4.0949999999999997E-3</v>
      </c>
      <c r="G40" s="578"/>
      <c r="H40" s="602">
        <f xml:space="preserve"> -F40*D40</f>
        <v>0</v>
      </c>
      <c r="I40" s="602">
        <f>I39</f>
        <v>0</v>
      </c>
      <c r="J40" s="602"/>
      <c r="K40" s="602">
        <f t="shared" ref="K40:K50" si="6">(+D40+D40*F40-I40)*-1</f>
        <v>0</v>
      </c>
    </row>
    <row r="41" spans="1:11" ht="15.75">
      <c r="A41" s="578" t="s">
        <v>186</v>
      </c>
      <c r="B41" s="578" t="str">
        <f>+B40</f>
        <v>Year 2020</v>
      </c>
      <c r="C41" s="578"/>
      <c r="D41" s="588">
        <f t="shared" ref="D41:D50" si="7">-K40</f>
        <v>0</v>
      </c>
      <c r="E41" s="588"/>
      <c r="F41" s="603">
        <f t="shared" ref="F41:F50" si="8">+F40</f>
        <v>4.0949999999999997E-3</v>
      </c>
      <c r="G41" s="578"/>
      <c r="H41" s="602">
        <f t="shared" ref="H41:H50" si="9" xml:space="preserve"> -F41*D41</f>
        <v>0</v>
      </c>
      <c r="I41" s="602">
        <f t="shared" ref="I41:I50" si="10">I40</f>
        <v>0</v>
      </c>
      <c r="J41" s="602"/>
      <c r="K41" s="602">
        <f t="shared" si="6"/>
        <v>0</v>
      </c>
    </row>
    <row r="42" spans="1:11" ht="15.75">
      <c r="A42" s="578" t="s">
        <v>187</v>
      </c>
      <c r="B42" s="578" t="str">
        <f>+B41</f>
        <v>Year 2020</v>
      </c>
      <c r="C42" s="578"/>
      <c r="D42" s="588">
        <f t="shared" si="7"/>
        <v>0</v>
      </c>
      <c r="E42" s="588"/>
      <c r="F42" s="603">
        <f t="shared" si="8"/>
        <v>4.0949999999999997E-3</v>
      </c>
      <c r="G42" s="578"/>
      <c r="H42" s="602">
        <f t="shared" si="9"/>
        <v>0</v>
      </c>
      <c r="I42" s="602">
        <f t="shared" si="10"/>
        <v>0</v>
      </c>
      <c r="J42" s="602"/>
      <c r="K42" s="602">
        <f t="shared" si="6"/>
        <v>0</v>
      </c>
    </row>
    <row r="43" spans="1:11" ht="15.75">
      <c r="A43" s="578" t="s">
        <v>188</v>
      </c>
      <c r="B43" s="578" t="str">
        <f>+B42</f>
        <v>Year 2020</v>
      </c>
      <c r="C43" s="578"/>
      <c r="D43" s="588">
        <f t="shared" si="7"/>
        <v>0</v>
      </c>
      <c r="E43" s="588"/>
      <c r="F43" s="603">
        <f t="shared" si="8"/>
        <v>4.0949999999999997E-3</v>
      </c>
      <c r="G43" s="578"/>
      <c r="H43" s="602">
        <f t="shared" si="9"/>
        <v>0</v>
      </c>
      <c r="I43" s="602">
        <f>I42</f>
        <v>0</v>
      </c>
      <c r="J43" s="602"/>
      <c r="K43" s="602">
        <f t="shared" si="6"/>
        <v>0</v>
      </c>
    </row>
    <row r="44" spans="1:11" ht="15.75">
      <c r="A44" s="578" t="s">
        <v>382</v>
      </c>
      <c r="B44" s="578" t="str">
        <f>B43</f>
        <v>Year 2020</v>
      </c>
      <c r="C44" s="2"/>
      <c r="D44" s="588">
        <f t="shared" si="7"/>
        <v>0</v>
      </c>
      <c r="E44" s="588"/>
      <c r="F44" s="603">
        <f t="shared" si="8"/>
        <v>4.0949999999999997E-3</v>
      </c>
      <c r="G44" s="578"/>
      <c r="H44" s="602">
        <f t="shared" si="9"/>
        <v>0</v>
      </c>
      <c r="I44" s="602">
        <f t="shared" si="10"/>
        <v>0</v>
      </c>
      <c r="J44" s="602"/>
      <c r="K44" s="602">
        <f t="shared" si="6"/>
        <v>0</v>
      </c>
    </row>
    <row r="45" spans="1:11" ht="15.75">
      <c r="A45" s="578" t="s">
        <v>189</v>
      </c>
      <c r="B45" s="578" t="str">
        <f t="shared" ref="B45:B50" si="11">+B44</f>
        <v>Year 2020</v>
      </c>
      <c r="C45" s="578"/>
      <c r="D45" s="588">
        <f t="shared" si="7"/>
        <v>0</v>
      </c>
      <c r="E45" s="588"/>
      <c r="F45" s="603">
        <f t="shared" si="8"/>
        <v>4.0949999999999997E-3</v>
      </c>
      <c r="G45" s="578"/>
      <c r="H45" s="602">
        <f t="shared" si="9"/>
        <v>0</v>
      </c>
      <c r="I45" s="602">
        <f t="shared" si="10"/>
        <v>0</v>
      </c>
      <c r="J45" s="602"/>
      <c r="K45" s="602">
        <f t="shared" si="6"/>
        <v>0</v>
      </c>
    </row>
    <row r="46" spans="1:11" ht="15.75">
      <c r="A46" s="578" t="s">
        <v>190</v>
      </c>
      <c r="B46" s="578" t="str">
        <f t="shared" si="11"/>
        <v>Year 2020</v>
      </c>
      <c r="C46" s="578"/>
      <c r="D46" s="588">
        <f t="shared" si="7"/>
        <v>0</v>
      </c>
      <c r="E46" s="588"/>
      <c r="F46" s="603">
        <f t="shared" si="8"/>
        <v>4.0949999999999997E-3</v>
      </c>
      <c r="G46" s="578"/>
      <c r="H46" s="602">
        <f t="shared" si="9"/>
        <v>0</v>
      </c>
      <c r="I46" s="602">
        <f t="shared" si="10"/>
        <v>0</v>
      </c>
      <c r="J46" s="602"/>
      <c r="K46" s="602">
        <f t="shared" si="6"/>
        <v>0</v>
      </c>
    </row>
    <row r="47" spans="1:11" ht="15.75">
      <c r="A47" s="578" t="s">
        <v>192</v>
      </c>
      <c r="B47" s="578" t="str">
        <f t="shared" si="11"/>
        <v>Year 2020</v>
      </c>
      <c r="C47" s="578"/>
      <c r="D47" s="588">
        <f t="shared" si="7"/>
        <v>0</v>
      </c>
      <c r="E47" s="588"/>
      <c r="F47" s="603">
        <f t="shared" si="8"/>
        <v>4.0949999999999997E-3</v>
      </c>
      <c r="G47" s="578"/>
      <c r="H47" s="602">
        <f t="shared" si="9"/>
        <v>0</v>
      </c>
      <c r="I47" s="602">
        <f>I46</f>
        <v>0</v>
      </c>
      <c r="J47" s="602"/>
      <c r="K47" s="602">
        <f t="shared" si="6"/>
        <v>0</v>
      </c>
    </row>
    <row r="48" spans="1:11" ht="15.75">
      <c r="A48" s="578" t="s">
        <v>560</v>
      </c>
      <c r="B48" s="578" t="str">
        <f t="shared" si="11"/>
        <v>Year 2020</v>
      </c>
      <c r="C48" s="578"/>
      <c r="D48" s="588">
        <f t="shared" si="7"/>
        <v>0</v>
      </c>
      <c r="E48" s="588"/>
      <c r="F48" s="603">
        <f t="shared" si="8"/>
        <v>4.0949999999999997E-3</v>
      </c>
      <c r="G48" s="578"/>
      <c r="H48" s="602">
        <f t="shared" si="9"/>
        <v>0</v>
      </c>
      <c r="I48" s="602">
        <f t="shared" si="10"/>
        <v>0</v>
      </c>
      <c r="J48" s="602"/>
      <c r="K48" s="602">
        <f t="shared" si="6"/>
        <v>0</v>
      </c>
    </row>
    <row r="49" spans="1:11" ht="15.75">
      <c r="A49" s="578" t="s">
        <v>561</v>
      </c>
      <c r="B49" s="578" t="str">
        <f t="shared" si="11"/>
        <v>Year 2020</v>
      </c>
      <c r="C49" s="578"/>
      <c r="D49" s="588">
        <f t="shared" si="7"/>
        <v>0</v>
      </c>
      <c r="E49" s="588"/>
      <c r="F49" s="603">
        <f t="shared" si="8"/>
        <v>4.0949999999999997E-3</v>
      </c>
      <c r="G49" s="578"/>
      <c r="H49" s="602">
        <f t="shared" si="9"/>
        <v>0</v>
      </c>
      <c r="I49" s="602">
        <f t="shared" si="10"/>
        <v>0</v>
      </c>
      <c r="J49" s="602"/>
      <c r="K49" s="602">
        <f t="shared" si="6"/>
        <v>0</v>
      </c>
    </row>
    <row r="50" spans="1:11" ht="15.75">
      <c r="A50" s="578" t="s">
        <v>191</v>
      </c>
      <c r="B50" s="578" t="str">
        <f t="shared" si="11"/>
        <v>Year 2020</v>
      </c>
      <c r="C50" s="578"/>
      <c r="D50" s="588">
        <f t="shared" si="7"/>
        <v>0</v>
      </c>
      <c r="E50" s="588"/>
      <c r="F50" s="603">
        <f t="shared" si="8"/>
        <v>4.0949999999999997E-3</v>
      </c>
      <c r="G50" s="578"/>
      <c r="H50" s="604">
        <f t="shared" si="9"/>
        <v>0</v>
      </c>
      <c r="I50" s="602">
        <f t="shared" si="10"/>
        <v>0</v>
      </c>
      <c r="J50" s="602"/>
      <c r="K50" s="602">
        <f t="shared" si="6"/>
        <v>0</v>
      </c>
    </row>
    <row r="51" spans="1:11" ht="15.75">
      <c r="A51" s="578"/>
      <c r="B51" s="578"/>
      <c r="C51" s="578"/>
      <c r="D51" s="588"/>
      <c r="E51" s="588"/>
      <c r="F51" s="603"/>
      <c r="G51" s="578"/>
      <c r="H51" s="602">
        <f>SUM(H39:H50)</f>
        <v>0</v>
      </c>
      <c r="I51" s="602"/>
      <c r="J51" s="602"/>
      <c r="K51" s="602"/>
    </row>
    <row r="52" spans="1:11" ht="15">
      <c r="A52" s="2"/>
      <c r="B52" s="2"/>
      <c r="C52" s="2"/>
      <c r="D52" s="2"/>
      <c r="E52" s="2"/>
      <c r="F52" s="2"/>
      <c r="G52" s="2"/>
      <c r="H52" s="2"/>
      <c r="I52" s="608"/>
      <c r="J52" s="2"/>
      <c r="K52" s="2"/>
    </row>
    <row r="53" spans="1:11" ht="15.75">
      <c r="A53" s="578" t="s">
        <v>569</v>
      </c>
      <c r="B53" s="2"/>
      <c r="C53" s="2"/>
      <c r="D53" s="2"/>
      <c r="E53" s="2"/>
      <c r="F53" s="2"/>
      <c r="G53" s="2"/>
      <c r="H53" s="2"/>
      <c r="I53" s="609">
        <f>(SUM(I39:I50)*-1)</f>
        <v>0</v>
      </c>
      <c r="J53" s="2"/>
      <c r="K53" s="2"/>
    </row>
    <row r="54" spans="1:11" ht="15.75">
      <c r="A54" s="578" t="s">
        <v>565</v>
      </c>
      <c r="B54" s="2"/>
      <c r="C54" s="2"/>
      <c r="D54" s="2"/>
      <c r="E54" s="2"/>
      <c r="F54" s="2"/>
      <c r="G54" s="2"/>
      <c r="H54" s="2"/>
      <c r="I54" s="610">
        <f>+H10</f>
        <v>0</v>
      </c>
      <c r="J54" s="2"/>
      <c r="K54" s="2"/>
    </row>
    <row r="55" spans="1:11" ht="15.75">
      <c r="A55" s="578" t="s">
        <v>566</v>
      </c>
      <c r="B55" s="2"/>
      <c r="C55" s="2"/>
      <c r="D55" s="2"/>
      <c r="E55" s="2"/>
      <c r="F55" s="2"/>
      <c r="G55" s="2"/>
      <c r="H55" s="2"/>
      <c r="I55" s="609">
        <f>(I53+I54)</f>
        <v>0</v>
      </c>
      <c r="J55" s="2"/>
      <c r="K55" s="2"/>
    </row>
    <row r="57" spans="1:11" ht="109.5" customHeight="1">
      <c r="A57" s="1348" t="s">
        <v>570</v>
      </c>
      <c r="B57" s="1348"/>
      <c r="C57" s="1348"/>
      <c r="D57" s="1348"/>
      <c r="E57" s="136"/>
      <c r="F57" s="136"/>
      <c r="G57" s="136"/>
      <c r="H57" s="136"/>
      <c r="I57" s="136"/>
      <c r="J57" s="136"/>
      <c r="K57" s="136"/>
    </row>
  </sheetData>
  <mergeCells count="5">
    <mergeCell ref="A1:K1"/>
    <mergeCell ref="A2:K2"/>
    <mergeCell ref="A3:K3"/>
    <mergeCell ref="D4:G4"/>
    <mergeCell ref="A57:D57"/>
  </mergeCells>
  <pageMargins left="0.7" right="0.7" top="0.75" bottom="0.75" header="0.3" footer="0.3"/>
  <pageSetup scale="54"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pageSetUpPr fitToPage="1"/>
  </sheetPr>
  <dimension ref="A1:K57"/>
  <sheetViews>
    <sheetView tabSelected="1" view="pageBreakPreview" topLeftCell="A10" zoomScale="60" zoomScaleNormal="100" workbookViewId="0">
      <selection activeCell="F7" sqref="F7"/>
    </sheetView>
  </sheetViews>
  <sheetFormatPr defaultRowHeight="12.75"/>
  <cols>
    <col min="1" max="1" width="23" customWidth="1"/>
    <col min="4" max="4" width="19.42578125" customWidth="1"/>
    <col min="6" max="6" width="17" customWidth="1"/>
    <col min="8" max="8" width="19.140625" customWidth="1"/>
    <col min="9" max="9" width="15.42578125" customWidth="1"/>
    <col min="11" max="11" width="22.42578125" customWidth="1"/>
  </cols>
  <sheetData>
    <row r="1" spans="1:11" ht="15.75">
      <c r="A1" s="1347" t="s">
        <v>387</v>
      </c>
      <c r="B1" s="1347"/>
      <c r="C1" s="1347"/>
      <c r="D1" s="1347"/>
      <c r="E1" s="1347"/>
      <c r="F1" s="1347"/>
      <c r="G1" s="1347"/>
      <c r="H1" s="1347"/>
      <c r="I1" s="1347"/>
      <c r="J1" s="1347"/>
      <c r="K1" s="1347"/>
    </row>
    <row r="2" spans="1:11" ht="15.75">
      <c r="A2" s="1346" t="s">
        <v>567</v>
      </c>
      <c r="B2" s="1346"/>
      <c r="C2" s="1346"/>
      <c r="D2" s="1346"/>
      <c r="E2" s="1346"/>
      <c r="F2" s="1346"/>
      <c r="G2" s="1346"/>
      <c r="H2" s="1346"/>
      <c r="I2" s="1346"/>
      <c r="J2" s="1346"/>
      <c r="K2" s="1346"/>
    </row>
    <row r="3" spans="1:11" ht="15.75">
      <c r="A3" s="1346" t="s">
        <v>568</v>
      </c>
      <c r="B3" s="1346"/>
      <c r="C3" s="1346"/>
      <c r="D3" s="1346"/>
      <c r="E3" s="1346"/>
      <c r="F3" s="1346"/>
      <c r="G3" s="1346"/>
      <c r="H3" s="1346"/>
      <c r="I3" s="1346"/>
      <c r="J3" s="1346"/>
      <c r="K3" s="1346"/>
    </row>
    <row r="4" spans="1:11" ht="15.75">
      <c r="A4" s="2"/>
      <c r="B4" s="2"/>
      <c r="C4" s="2"/>
      <c r="D4" s="1346"/>
      <c r="E4" s="1346"/>
      <c r="F4" s="1346"/>
      <c r="G4" s="1346"/>
      <c r="H4" s="2"/>
      <c r="I4" s="2"/>
      <c r="J4" s="2"/>
      <c r="K4" s="2"/>
    </row>
    <row r="7" spans="1:11" ht="16.5" thickBot="1">
      <c r="A7" s="577"/>
      <c r="B7" s="578"/>
      <c r="C7" s="578"/>
      <c r="D7" s="578"/>
      <c r="E7" s="578"/>
      <c r="F7" s="578"/>
      <c r="G7" s="578"/>
      <c r="H7" s="578"/>
      <c r="I7" s="578"/>
      <c r="J7" s="578"/>
      <c r="K7" s="578"/>
    </row>
    <row r="8" spans="1:11" ht="63">
      <c r="A8" s="579" t="str">
        <f>"Reconciliation Revenue Requirement For Year 2018 Available May 25, 2019"</f>
        <v>Reconciliation Revenue Requirement For Year 2018 Available May 25, 2019</v>
      </c>
      <c r="B8" s="578"/>
      <c r="C8" s="578"/>
      <c r="D8" s="579" t="s">
        <v>1067</v>
      </c>
      <c r="E8" s="578"/>
      <c r="F8" s="578"/>
      <c r="G8" s="2"/>
      <c r="H8" s="579" t="s">
        <v>548</v>
      </c>
      <c r="I8" s="2"/>
      <c r="J8" s="2"/>
      <c r="K8" s="2"/>
    </row>
    <row r="9" spans="1:11" ht="15.75">
      <c r="A9" s="580" t="s">
        <v>114</v>
      </c>
      <c r="B9" s="578"/>
      <c r="C9" s="578"/>
      <c r="D9" s="580"/>
      <c r="E9" s="578"/>
      <c r="F9" s="578"/>
      <c r="G9" s="2"/>
      <c r="H9" s="581"/>
      <c r="I9" s="2"/>
      <c r="J9" s="2"/>
      <c r="K9" s="2"/>
    </row>
    <row r="10" spans="1:11" ht="16.5" thickBot="1">
      <c r="A10" s="660">
        <v>0</v>
      </c>
      <c r="B10" s="582" t="str">
        <f>"-"</f>
        <v>-</v>
      </c>
      <c r="C10" s="583"/>
      <c r="D10" s="660">
        <v>0</v>
      </c>
      <c r="E10" s="584"/>
      <c r="F10" s="585" t="str">
        <f>"="</f>
        <v>=</v>
      </c>
      <c r="G10" s="586"/>
      <c r="H10" s="587">
        <f>IF(A10=0,0,D10-A10)</f>
        <v>0</v>
      </c>
      <c r="I10" s="2"/>
      <c r="J10" s="2"/>
      <c r="K10" s="2"/>
    </row>
    <row r="11" spans="1:11" ht="15.75">
      <c r="A11" s="588"/>
      <c r="B11" s="589"/>
      <c r="C11" s="589"/>
      <c r="D11" s="588"/>
      <c r="E11" s="588"/>
      <c r="F11" s="589"/>
      <c r="G11" s="588"/>
      <c r="H11" s="2"/>
      <c r="I11" s="2"/>
      <c r="J11" s="2"/>
      <c r="K11" s="2"/>
    </row>
    <row r="12" spans="1:11" ht="16.5" thickBot="1">
      <c r="A12" s="590"/>
      <c r="B12" s="591"/>
      <c r="C12" s="591"/>
      <c r="D12" s="590"/>
      <c r="E12" s="590"/>
      <c r="F12" s="591"/>
      <c r="G12" s="590"/>
      <c r="H12" s="592"/>
      <c r="I12" s="592"/>
      <c r="J12" s="592"/>
      <c r="K12" s="592"/>
    </row>
    <row r="13" spans="1:11" ht="15.75">
      <c r="A13" s="593"/>
      <c r="B13" s="589"/>
      <c r="C13" s="589"/>
      <c r="D13" s="588"/>
      <c r="E13" s="588"/>
      <c r="F13" s="589"/>
      <c r="G13" s="588"/>
      <c r="H13" s="2"/>
      <c r="I13" s="2"/>
      <c r="J13" s="2"/>
      <c r="K13" s="2"/>
    </row>
    <row r="14" spans="1:11" ht="47.25">
      <c r="A14" s="594" t="s">
        <v>549</v>
      </c>
      <c r="B14" s="589"/>
      <c r="C14" s="589"/>
      <c r="D14" s="595" t="s">
        <v>550</v>
      </c>
      <c r="E14" s="588"/>
      <c r="F14" s="595" t="s">
        <v>551</v>
      </c>
      <c r="G14" s="596" t="s">
        <v>552</v>
      </c>
      <c r="H14" s="597" t="s">
        <v>553</v>
      </c>
      <c r="I14" s="595" t="s">
        <v>554</v>
      </c>
      <c r="J14" s="598"/>
      <c r="K14" s="595" t="s">
        <v>555</v>
      </c>
    </row>
    <row r="15" spans="1:11" ht="15.75">
      <c r="A15" s="594" t="s">
        <v>556</v>
      </c>
      <c r="B15" s="589"/>
      <c r="C15" s="589"/>
      <c r="D15" s="2"/>
      <c r="E15" s="599"/>
      <c r="F15" s="929">
        <f>'WS Q NITS'!F15</f>
        <v>4.0949999999999997E-3</v>
      </c>
      <c r="H15" s="2"/>
      <c r="I15" s="2"/>
      <c r="J15" s="2"/>
      <c r="K15" s="2"/>
    </row>
    <row r="16" spans="1:11" ht="15.75">
      <c r="A16" s="594"/>
      <c r="B16" s="589"/>
      <c r="C16" s="589"/>
      <c r="D16" s="2"/>
      <c r="E16" s="599"/>
      <c r="F16" s="599"/>
      <c r="G16" s="588"/>
      <c r="H16" s="2"/>
      <c r="I16" s="2"/>
      <c r="J16" s="2"/>
      <c r="K16" s="2"/>
    </row>
    <row r="17" spans="1:11" ht="15.75">
      <c r="A17" s="594" t="s">
        <v>1068</v>
      </c>
      <c r="B17" s="589"/>
      <c r="C17" s="589"/>
      <c r="D17" s="2"/>
      <c r="E17" s="599"/>
      <c r="F17" s="599"/>
      <c r="G17" s="588"/>
      <c r="H17" s="2"/>
      <c r="I17" s="2"/>
      <c r="J17" s="2"/>
      <c r="K17" s="2"/>
    </row>
    <row r="18" spans="1:11" ht="15.75">
      <c r="A18" s="600" t="s">
        <v>114</v>
      </c>
      <c r="B18" s="589"/>
      <c r="C18" s="589"/>
      <c r="D18" s="589"/>
      <c r="E18" s="589"/>
      <c r="F18" s="589" t="s">
        <v>114</v>
      </c>
      <c r="G18" s="2"/>
      <c r="H18" s="2"/>
      <c r="I18" s="2"/>
      <c r="J18" s="2"/>
      <c r="K18" s="2"/>
    </row>
    <row r="19" spans="1:11" ht="15.75">
      <c r="A19" s="601"/>
      <c r="B19" s="589"/>
      <c r="C19" s="589"/>
      <c r="D19" s="589"/>
      <c r="E19" s="589"/>
      <c r="F19" s="2"/>
      <c r="G19" s="2"/>
      <c r="H19" s="596"/>
      <c r="I19" s="589"/>
      <c r="J19" s="589"/>
      <c r="K19" s="589"/>
    </row>
    <row r="20" spans="1:11" ht="15.75">
      <c r="A20" s="601" t="s">
        <v>557</v>
      </c>
      <c r="B20" s="589"/>
      <c r="C20" s="589"/>
      <c r="D20" s="589"/>
      <c r="E20" s="589"/>
      <c r="F20" s="2"/>
      <c r="G20" s="2"/>
      <c r="H20" s="596" t="s">
        <v>558</v>
      </c>
      <c r="I20" s="589"/>
      <c r="J20" s="589"/>
      <c r="K20" s="589"/>
    </row>
    <row r="21" spans="1:11" ht="15.75">
      <c r="A21" s="578" t="s">
        <v>185</v>
      </c>
      <c r="B21" s="578" t="str">
        <f>"Year 2018"</f>
        <v>Year 2018</v>
      </c>
      <c r="C21" s="578"/>
      <c r="D21" s="602">
        <f>H10/12</f>
        <v>0</v>
      </c>
      <c r="E21" s="602"/>
      <c r="F21" s="603">
        <f>+F15</f>
        <v>4.0949999999999997E-3</v>
      </c>
      <c r="G21" s="578">
        <v>12</v>
      </c>
      <c r="H21" s="602">
        <f>F21*D21*G21*-1</f>
        <v>0</v>
      </c>
      <c r="I21" s="602"/>
      <c r="J21" s="602"/>
      <c r="K21" s="602">
        <f>(-H21+D21)*-1</f>
        <v>0</v>
      </c>
    </row>
    <row r="22" spans="1:11" ht="15.75">
      <c r="A22" s="578" t="s">
        <v>559</v>
      </c>
      <c r="B22" s="578" t="str">
        <f>B21</f>
        <v>Year 2018</v>
      </c>
      <c r="C22" s="578"/>
      <c r="D22" s="602">
        <f>+D21</f>
        <v>0</v>
      </c>
      <c r="E22" s="602"/>
      <c r="F22" s="603">
        <f>+F21</f>
        <v>4.0949999999999997E-3</v>
      </c>
      <c r="G22" s="578">
        <f t="shared" ref="G22:G32" si="0">+G21-1</f>
        <v>11</v>
      </c>
      <c r="H22" s="602">
        <f t="shared" ref="H22:H32" si="1">F22*D22*G22*-1</f>
        <v>0</v>
      </c>
      <c r="I22" s="602"/>
      <c r="J22" s="602"/>
      <c r="K22" s="602">
        <f t="shared" ref="K22:K32" si="2">(-H22+D22)*-1</f>
        <v>0</v>
      </c>
    </row>
    <row r="23" spans="1:11" ht="15.75">
      <c r="A23" s="578" t="s">
        <v>186</v>
      </c>
      <c r="B23" s="578" t="str">
        <f t="shared" ref="B23:B32" si="3">B22</f>
        <v>Year 2018</v>
      </c>
      <c r="C23" s="578"/>
      <c r="D23" s="602">
        <f t="shared" ref="D23:D32" si="4">+D22</f>
        <v>0</v>
      </c>
      <c r="E23" s="602"/>
      <c r="F23" s="603">
        <f t="shared" ref="F23:F32" si="5">+F22</f>
        <v>4.0949999999999997E-3</v>
      </c>
      <c r="G23" s="578">
        <f t="shared" si="0"/>
        <v>10</v>
      </c>
      <c r="H23" s="602">
        <f t="shared" si="1"/>
        <v>0</v>
      </c>
      <c r="I23" s="602"/>
      <c r="J23" s="602"/>
      <c r="K23" s="602">
        <f t="shared" si="2"/>
        <v>0</v>
      </c>
    </row>
    <row r="24" spans="1:11" ht="15.75">
      <c r="A24" s="578" t="s">
        <v>187</v>
      </c>
      <c r="B24" s="578" t="str">
        <f t="shared" si="3"/>
        <v>Year 2018</v>
      </c>
      <c r="C24" s="578"/>
      <c r="D24" s="602">
        <f t="shared" si="4"/>
        <v>0</v>
      </c>
      <c r="E24" s="602"/>
      <c r="F24" s="603">
        <f t="shared" si="5"/>
        <v>4.0949999999999997E-3</v>
      </c>
      <c r="G24" s="578">
        <f t="shared" si="0"/>
        <v>9</v>
      </c>
      <c r="H24" s="602">
        <f t="shared" si="1"/>
        <v>0</v>
      </c>
      <c r="I24" s="602"/>
      <c r="J24" s="602"/>
      <c r="K24" s="602">
        <f t="shared" si="2"/>
        <v>0</v>
      </c>
    </row>
    <row r="25" spans="1:11" ht="15.75">
      <c r="A25" s="578" t="s">
        <v>188</v>
      </c>
      <c r="B25" s="578" t="str">
        <f t="shared" si="3"/>
        <v>Year 2018</v>
      </c>
      <c r="C25" s="578"/>
      <c r="D25" s="602">
        <f t="shared" si="4"/>
        <v>0</v>
      </c>
      <c r="E25" s="602"/>
      <c r="F25" s="603">
        <f t="shared" si="5"/>
        <v>4.0949999999999997E-3</v>
      </c>
      <c r="G25" s="578">
        <f t="shared" si="0"/>
        <v>8</v>
      </c>
      <c r="H25" s="602">
        <f t="shared" si="1"/>
        <v>0</v>
      </c>
      <c r="I25" s="602"/>
      <c r="J25" s="602"/>
      <c r="K25" s="602">
        <f t="shared" si="2"/>
        <v>0</v>
      </c>
    </row>
    <row r="26" spans="1:11" ht="15.75">
      <c r="A26" s="578" t="s">
        <v>382</v>
      </c>
      <c r="B26" s="578" t="str">
        <f t="shared" si="3"/>
        <v>Year 2018</v>
      </c>
      <c r="C26" s="578"/>
      <c r="D26" s="602">
        <f t="shared" si="4"/>
        <v>0</v>
      </c>
      <c r="E26" s="602"/>
      <c r="F26" s="603">
        <f t="shared" si="5"/>
        <v>4.0949999999999997E-3</v>
      </c>
      <c r="G26" s="578">
        <f t="shared" si="0"/>
        <v>7</v>
      </c>
      <c r="H26" s="602">
        <f t="shared" si="1"/>
        <v>0</v>
      </c>
      <c r="I26" s="602"/>
      <c r="J26" s="602"/>
      <c r="K26" s="602">
        <f t="shared" si="2"/>
        <v>0</v>
      </c>
    </row>
    <row r="27" spans="1:11" ht="15.75">
      <c r="A27" s="578" t="s">
        <v>189</v>
      </c>
      <c r="B27" s="578" t="str">
        <f t="shared" si="3"/>
        <v>Year 2018</v>
      </c>
      <c r="C27" s="578"/>
      <c r="D27" s="602">
        <f t="shared" si="4"/>
        <v>0</v>
      </c>
      <c r="E27" s="602"/>
      <c r="F27" s="603">
        <f t="shared" si="5"/>
        <v>4.0949999999999997E-3</v>
      </c>
      <c r="G27" s="578">
        <f t="shared" si="0"/>
        <v>6</v>
      </c>
      <c r="H27" s="602">
        <f t="shared" si="1"/>
        <v>0</v>
      </c>
      <c r="I27" s="602"/>
      <c r="J27" s="602"/>
      <c r="K27" s="602">
        <f t="shared" si="2"/>
        <v>0</v>
      </c>
    </row>
    <row r="28" spans="1:11" ht="15.75">
      <c r="A28" s="578" t="s">
        <v>190</v>
      </c>
      <c r="B28" s="578" t="str">
        <f t="shared" si="3"/>
        <v>Year 2018</v>
      </c>
      <c r="C28" s="578"/>
      <c r="D28" s="602">
        <f t="shared" si="4"/>
        <v>0</v>
      </c>
      <c r="E28" s="602"/>
      <c r="F28" s="603">
        <f t="shared" si="5"/>
        <v>4.0949999999999997E-3</v>
      </c>
      <c r="G28" s="578">
        <f t="shared" si="0"/>
        <v>5</v>
      </c>
      <c r="H28" s="602">
        <f t="shared" si="1"/>
        <v>0</v>
      </c>
      <c r="I28" s="602"/>
      <c r="J28" s="602"/>
      <c r="K28" s="602">
        <f t="shared" si="2"/>
        <v>0</v>
      </c>
    </row>
    <row r="29" spans="1:11" ht="15.75">
      <c r="A29" s="578" t="s">
        <v>192</v>
      </c>
      <c r="B29" s="578" t="str">
        <f t="shared" si="3"/>
        <v>Year 2018</v>
      </c>
      <c r="C29" s="578"/>
      <c r="D29" s="602">
        <f t="shared" si="4"/>
        <v>0</v>
      </c>
      <c r="E29" s="602"/>
      <c r="F29" s="603">
        <f t="shared" si="5"/>
        <v>4.0949999999999997E-3</v>
      </c>
      <c r="G29" s="578">
        <f t="shared" si="0"/>
        <v>4</v>
      </c>
      <c r="H29" s="602">
        <f t="shared" si="1"/>
        <v>0</v>
      </c>
      <c r="I29" s="602"/>
      <c r="J29" s="602"/>
      <c r="K29" s="602">
        <f t="shared" si="2"/>
        <v>0</v>
      </c>
    </row>
    <row r="30" spans="1:11" ht="15.75">
      <c r="A30" s="578" t="s">
        <v>560</v>
      </c>
      <c r="B30" s="578" t="str">
        <f t="shared" si="3"/>
        <v>Year 2018</v>
      </c>
      <c r="C30" s="578"/>
      <c r="D30" s="602">
        <f t="shared" si="4"/>
        <v>0</v>
      </c>
      <c r="E30" s="602"/>
      <c r="F30" s="603">
        <f t="shared" si="5"/>
        <v>4.0949999999999997E-3</v>
      </c>
      <c r="G30" s="578">
        <f t="shared" si="0"/>
        <v>3</v>
      </c>
      <c r="H30" s="602">
        <f t="shared" si="1"/>
        <v>0</v>
      </c>
      <c r="I30" s="602"/>
      <c r="J30" s="602"/>
      <c r="K30" s="602">
        <f t="shared" si="2"/>
        <v>0</v>
      </c>
    </row>
    <row r="31" spans="1:11" ht="15.75">
      <c r="A31" s="578" t="s">
        <v>561</v>
      </c>
      <c r="B31" s="578" t="str">
        <f t="shared" si="3"/>
        <v>Year 2018</v>
      </c>
      <c r="C31" s="578"/>
      <c r="D31" s="602">
        <f t="shared" si="4"/>
        <v>0</v>
      </c>
      <c r="E31" s="602"/>
      <c r="F31" s="603">
        <f t="shared" si="5"/>
        <v>4.0949999999999997E-3</v>
      </c>
      <c r="G31" s="578">
        <f t="shared" si="0"/>
        <v>2</v>
      </c>
      <c r="H31" s="602">
        <f t="shared" si="1"/>
        <v>0</v>
      </c>
      <c r="I31" s="602"/>
      <c r="J31" s="602"/>
      <c r="K31" s="602">
        <f t="shared" si="2"/>
        <v>0</v>
      </c>
    </row>
    <row r="32" spans="1:11" ht="15.75">
      <c r="A32" s="578" t="s">
        <v>191</v>
      </c>
      <c r="B32" s="578" t="str">
        <f t="shared" si="3"/>
        <v>Year 2018</v>
      </c>
      <c r="C32" s="578"/>
      <c r="D32" s="602">
        <f t="shared" si="4"/>
        <v>0</v>
      </c>
      <c r="E32" s="602"/>
      <c r="F32" s="603">
        <f t="shared" si="5"/>
        <v>4.0949999999999997E-3</v>
      </c>
      <c r="G32" s="578">
        <f t="shared" si="0"/>
        <v>1</v>
      </c>
      <c r="H32" s="604">
        <f t="shared" si="1"/>
        <v>0</v>
      </c>
      <c r="I32" s="602"/>
      <c r="J32" s="602"/>
      <c r="K32" s="602">
        <f t="shared" si="2"/>
        <v>0</v>
      </c>
    </row>
    <row r="33" spans="1:11" ht="15.75">
      <c r="A33" s="578"/>
      <c r="B33" s="578"/>
      <c r="C33" s="578"/>
      <c r="D33" s="602"/>
      <c r="E33" s="602"/>
      <c r="F33" s="603"/>
      <c r="G33" s="578"/>
      <c r="H33" s="602">
        <f>SUM(H21:H32)</f>
        <v>0</v>
      </c>
      <c r="I33" s="602"/>
      <c r="J33" s="602"/>
      <c r="K33" s="605">
        <f>SUM(K21:K32)</f>
        <v>0</v>
      </c>
    </row>
    <row r="34" spans="1:11" ht="15.75">
      <c r="A34" s="578"/>
      <c r="B34" s="578"/>
      <c r="C34" s="578"/>
      <c r="D34" s="602"/>
      <c r="E34" s="602"/>
      <c r="F34" s="603"/>
      <c r="G34" s="578"/>
      <c r="H34" s="602"/>
      <c r="I34" s="602" t="s">
        <v>114</v>
      </c>
      <c r="J34" s="602"/>
      <c r="K34" s="2"/>
    </row>
    <row r="35" spans="1:11" ht="15.75">
      <c r="A35" s="578"/>
      <c r="B35" s="578"/>
      <c r="C35" s="578"/>
      <c r="D35" s="588"/>
      <c r="E35" s="588"/>
      <c r="F35" s="603"/>
      <c r="G35" s="578"/>
      <c r="H35" s="606" t="s">
        <v>562</v>
      </c>
      <c r="I35" s="602"/>
      <c r="J35" s="602"/>
      <c r="K35" s="602"/>
    </row>
    <row r="36" spans="1:11" ht="15.75">
      <c r="A36" s="578" t="s">
        <v>563</v>
      </c>
      <c r="B36" s="578" t="str">
        <f>"Year 2019"</f>
        <v>Year 2019</v>
      </c>
      <c r="C36" s="578"/>
      <c r="D36" s="588">
        <f>K33</f>
        <v>0</v>
      </c>
      <c r="E36" s="588"/>
      <c r="F36" s="603">
        <f>+F32</f>
        <v>4.0949999999999997E-3</v>
      </c>
      <c r="G36" s="578">
        <v>12</v>
      </c>
      <c r="H36" s="602">
        <f>+G36*F36*D36</f>
        <v>0</v>
      </c>
      <c r="I36" s="602"/>
      <c r="J36" s="602"/>
      <c r="K36" s="605">
        <f>+D36+H36</f>
        <v>0</v>
      </c>
    </row>
    <row r="37" spans="1:11" ht="15.75">
      <c r="A37" s="578"/>
      <c r="B37" s="578"/>
      <c r="C37" s="578"/>
      <c r="D37" s="588"/>
      <c r="E37" s="588"/>
      <c r="F37" s="603"/>
      <c r="G37" s="578"/>
      <c r="H37" s="602"/>
      <c r="I37" s="602"/>
      <c r="J37" s="602"/>
      <c r="K37" s="602"/>
    </row>
    <row r="38" spans="1:11" ht="15.75">
      <c r="A38" s="607" t="s">
        <v>564</v>
      </c>
      <c r="B38" s="578"/>
      <c r="C38" s="578"/>
      <c r="D38" s="602"/>
      <c r="E38" s="602"/>
      <c r="F38" s="603"/>
      <c r="G38" s="578"/>
      <c r="H38" s="606" t="s">
        <v>558</v>
      </c>
      <c r="I38" s="602"/>
      <c r="J38" s="602"/>
      <c r="K38" s="602"/>
    </row>
    <row r="39" spans="1:11" ht="15.75">
      <c r="A39" s="578" t="s">
        <v>185</v>
      </c>
      <c r="B39" s="578" t="str">
        <f>"Year 2020"</f>
        <v>Year 2020</v>
      </c>
      <c r="C39" s="578"/>
      <c r="D39" s="588">
        <f>-K36</f>
        <v>0</v>
      </c>
      <c r="E39" s="588"/>
      <c r="F39" s="603">
        <f>+F32</f>
        <v>4.0949999999999997E-3</v>
      </c>
      <c r="G39" s="578"/>
      <c r="H39" s="602">
        <f xml:space="preserve"> -F39*D39</f>
        <v>0</v>
      </c>
      <c r="I39" s="602">
        <f>PMT(F39,12,K$36)</f>
        <v>0</v>
      </c>
      <c r="J39" s="602"/>
      <c r="K39" s="602">
        <f>(+D39+D39*F39-I39)*-1</f>
        <v>0</v>
      </c>
    </row>
    <row r="40" spans="1:11" ht="15.75">
      <c r="A40" s="578" t="s">
        <v>559</v>
      </c>
      <c r="B40" s="578" t="str">
        <f>+B39</f>
        <v>Year 2020</v>
      </c>
      <c r="C40" s="578"/>
      <c r="D40" s="588">
        <f>-K39</f>
        <v>0</v>
      </c>
      <c r="E40" s="588"/>
      <c r="F40" s="603">
        <f>+F39</f>
        <v>4.0949999999999997E-3</v>
      </c>
      <c r="G40" s="578"/>
      <c r="H40" s="602">
        <f xml:space="preserve"> -F40*D40</f>
        <v>0</v>
      </c>
      <c r="I40" s="602">
        <f>I39</f>
        <v>0</v>
      </c>
      <c r="J40" s="602"/>
      <c r="K40" s="602">
        <f t="shared" ref="K40:K50" si="6">(+D40+D40*F40-I40)*-1</f>
        <v>0</v>
      </c>
    </row>
    <row r="41" spans="1:11" ht="15.75">
      <c r="A41" s="578" t="s">
        <v>186</v>
      </c>
      <c r="B41" s="578" t="str">
        <f>+B40</f>
        <v>Year 2020</v>
      </c>
      <c r="C41" s="578"/>
      <c r="D41" s="588">
        <f t="shared" ref="D41:D50" si="7">-K40</f>
        <v>0</v>
      </c>
      <c r="E41" s="588"/>
      <c r="F41" s="603">
        <f t="shared" ref="F41:F50" si="8">+F40</f>
        <v>4.0949999999999997E-3</v>
      </c>
      <c r="G41" s="578"/>
      <c r="H41" s="602">
        <f t="shared" ref="H41:H50" si="9" xml:space="preserve"> -F41*D41</f>
        <v>0</v>
      </c>
      <c r="I41" s="602">
        <f t="shared" ref="I41:I50" si="10">I40</f>
        <v>0</v>
      </c>
      <c r="J41" s="602"/>
      <c r="K41" s="602">
        <f t="shared" si="6"/>
        <v>0</v>
      </c>
    </row>
    <row r="42" spans="1:11" ht="15.75">
      <c r="A42" s="578" t="s">
        <v>187</v>
      </c>
      <c r="B42" s="578" t="str">
        <f>+B41</f>
        <v>Year 2020</v>
      </c>
      <c r="C42" s="578"/>
      <c r="D42" s="588">
        <f t="shared" si="7"/>
        <v>0</v>
      </c>
      <c r="E42" s="588"/>
      <c r="F42" s="603">
        <f t="shared" si="8"/>
        <v>4.0949999999999997E-3</v>
      </c>
      <c r="G42" s="578"/>
      <c r="H42" s="602">
        <f t="shared" si="9"/>
        <v>0</v>
      </c>
      <c r="I42" s="602">
        <f t="shared" si="10"/>
        <v>0</v>
      </c>
      <c r="J42" s="602"/>
      <c r="K42" s="602">
        <f t="shared" si="6"/>
        <v>0</v>
      </c>
    </row>
    <row r="43" spans="1:11" ht="15.75">
      <c r="A43" s="578" t="s">
        <v>188</v>
      </c>
      <c r="B43" s="578" t="str">
        <f>+B42</f>
        <v>Year 2020</v>
      </c>
      <c r="C43" s="578"/>
      <c r="D43" s="588">
        <f t="shared" si="7"/>
        <v>0</v>
      </c>
      <c r="E43" s="588"/>
      <c r="F43" s="603">
        <f t="shared" si="8"/>
        <v>4.0949999999999997E-3</v>
      </c>
      <c r="G43" s="578"/>
      <c r="H43" s="602">
        <f t="shared" si="9"/>
        <v>0</v>
      </c>
      <c r="I43" s="602">
        <f>I42</f>
        <v>0</v>
      </c>
      <c r="J43" s="602"/>
      <c r="K43" s="602">
        <f t="shared" si="6"/>
        <v>0</v>
      </c>
    </row>
    <row r="44" spans="1:11" ht="15.75">
      <c r="A44" s="578" t="s">
        <v>382</v>
      </c>
      <c r="B44" s="578" t="str">
        <f>B43</f>
        <v>Year 2020</v>
      </c>
      <c r="C44" s="2"/>
      <c r="D44" s="588">
        <f t="shared" si="7"/>
        <v>0</v>
      </c>
      <c r="E44" s="588"/>
      <c r="F44" s="603">
        <f t="shared" si="8"/>
        <v>4.0949999999999997E-3</v>
      </c>
      <c r="G44" s="578"/>
      <c r="H44" s="602">
        <f t="shared" si="9"/>
        <v>0</v>
      </c>
      <c r="I44" s="602">
        <f t="shared" si="10"/>
        <v>0</v>
      </c>
      <c r="J44" s="602"/>
      <c r="K44" s="602">
        <f t="shared" si="6"/>
        <v>0</v>
      </c>
    </row>
    <row r="45" spans="1:11" ht="15.75">
      <c r="A45" s="578" t="s">
        <v>189</v>
      </c>
      <c r="B45" s="578" t="str">
        <f t="shared" ref="B45:B50" si="11">+B44</f>
        <v>Year 2020</v>
      </c>
      <c r="C45" s="578"/>
      <c r="D45" s="588">
        <f t="shared" si="7"/>
        <v>0</v>
      </c>
      <c r="E45" s="588"/>
      <c r="F45" s="603">
        <f t="shared" si="8"/>
        <v>4.0949999999999997E-3</v>
      </c>
      <c r="G45" s="578"/>
      <c r="H45" s="602">
        <f t="shared" si="9"/>
        <v>0</v>
      </c>
      <c r="I45" s="602">
        <f t="shared" si="10"/>
        <v>0</v>
      </c>
      <c r="J45" s="602"/>
      <c r="K45" s="602">
        <f t="shared" si="6"/>
        <v>0</v>
      </c>
    </row>
    <row r="46" spans="1:11" ht="15.75">
      <c r="A46" s="578" t="s">
        <v>190</v>
      </c>
      <c r="B46" s="578" t="str">
        <f t="shared" si="11"/>
        <v>Year 2020</v>
      </c>
      <c r="C46" s="578"/>
      <c r="D46" s="588">
        <f t="shared" si="7"/>
        <v>0</v>
      </c>
      <c r="E46" s="588"/>
      <c r="F46" s="603">
        <f t="shared" si="8"/>
        <v>4.0949999999999997E-3</v>
      </c>
      <c r="G46" s="578"/>
      <c r="H46" s="602">
        <f t="shared" si="9"/>
        <v>0</v>
      </c>
      <c r="I46" s="602">
        <f t="shared" si="10"/>
        <v>0</v>
      </c>
      <c r="J46" s="602"/>
      <c r="K46" s="602">
        <f t="shared" si="6"/>
        <v>0</v>
      </c>
    </row>
    <row r="47" spans="1:11" ht="15.75">
      <c r="A47" s="578" t="s">
        <v>192</v>
      </c>
      <c r="B47" s="578" t="str">
        <f t="shared" si="11"/>
        <v>Year 2020</v>
      </c>
      <c r="C47" s="578"/>
      <c r="D47" s="588">
        <f t="shared" si="7"/>
        <v>0</v>
      </c>
      <c r="E47" s="588"/>
      <c r="F47" s="603">
        <f t="shared" si="8"/>
        <v>4.0949999999999997E-3</v>
      </c>
      <c r="G47" s="578"/>
      <c r="H47" s="602">
        <f t="shared" si="9"/>
        <v>0</v>
      </c>
      <c r="I47" s="602">
        <f>I46</f>
        <v>0</v>
      </c>
      <c r="J47" s="602"/>
      <c r="K47" s="602">
        <f t="shared" si="6"/>
        <v>0</v>
      </c>
    </row>
    <row r="48" spans="1:11" ht="15.75">
      <c r="A48" s="578" t="s">
        <v>560</v>
      </c>
      <c r="B48" s="578" t="str">
        <f t="shared" si="11"/>
        <v>Year 2020</v>
      </c>
      <c r="C48" s="578"/>
      <c r="D48" s="588">
        <f t="shared" si="7"/>
        <v>0</v>
      </c>
      <c r="E48" s="588"/>
      <c r="F48" s="603">
        <f t="shared" si="8"/>
        <v>4.0949999999999997E-3</v>
      </c>
      <c r="G48" s="578"/>
      <c r="H48" s="602">
        <f t="shared" si="9"/>
        <v>0</v>
      </c>
      <c r="I48" s="602">
        <f t="shared" si="10"/>
        <v>0</v>
      </c>
      <c r="J48" s="602"/>
      <c r="K48" s="602">
        <f t="shared" si="6"/>
        <v>0</v>
      </c>
    </row>
    <row r="49" spans="1:11" ht="15.75">
      <c r="A49" s="578" t="s">
        <v>561</v>
      </c>
      <c r="B49" s="578" t="str">
        <f t="shared" si="11"/>
        <v>Year 2020</v>
      </c>
      <c r="C49" s="578"/>
      <c r="D49" s="588">
        <f t="shared" si="7"/>
        <v>0</v>
      </c>
      <c r="E49" s="588"/>
      <c r="F49" s="603">
        <f t="shared" si="8"/>
        <v>4.0949999999999997E-3</v>
      </c>
      <c r="G49" s="578"/>
      <c r="H49" s="602">
        <f t="shared" si="9"/>
        <v>0</v>
      </c>
      <c r="I49" s="602">
        <f t="shared" si="10"/>
        <v>0</v>
      </c>
      <c r="J49" s="602"/>
      <c r="K49" s="602">
        <f t="shared" si="6"/>
        <v>0</v>
      </c>
    </row>
    <row r="50" spans="1:11" ht="15.75">
      <c r="A50" s="578" t="s">
        <v>191</v>
      </c>
      <c r="B50" s="578" t="str">
        <f t="shared" si="11"/>
        <v>Year 2020</v>
      </c>
      <c r="C50" s="578"/>
      <c r="D50" s="588">
        <f t="shared" si="7"/>
        <v>0</v>
      </c>
      <c r="E50" s="588"/>
      <c r="F50" s="603">
        <f t="shared" si="8"/>
        <v>4.0949999999999997E-3</v>
      </c>
      <c r="G50" s="578"/>
      <c r="H50" s="604">
        <f t="shared" si="9"/>
        <v>0</v>
      </c>
      <c r="I50" s="602">
        <f t="shared" si="10"/>
        <v>0</v>
      </c>
      <c r="J50" s="602"/>
      <c r="K50" s="602">
        <f t="shared" si="6"/>
        <v>0</v>
      </c>
    </row>
    <row r="51" spans="1:11" ht="15.75">
      <c r="A51" s="578"/>
      <c r="B51" s="578"/>
      <c r="C51" s="578"/>
      <c r="D51" s="588"/>
      <c r="E51" s="588"/>
      <c r="F51" s="603"/>
      <c r="G51" s="578"/>
      <c r="H51" s="602">
        <f>SUM(H39:H50)</f>
        <v>0</v>
      </c>
      <c r="I51" s="602"/>
      <c r="J51" s="602"/>
      <c r="K51" s="602"/>
    </row>
    <row r="52" spans="1:11" ht="15">
      <c r="A52" s="2"/>
      <c r="B52" s="2"/>
      <c r="C52" s="2"/>
      <c r="D52" s="2"/>
      <c r="E52" s="2"/>
      <c r="F52" s="2"/>
      <c r="G52" s="2"/>
      <c r="H52" s="2"/>
      <c r="I52" s="608"/>
      <c r="J52" s="2"/>
      <c r="K52" s="2"/>
    </row>
    <row r="53" spans="1:11" ht="15.75">
      <c r="A53" s="578" t="s">
        <v>569</v>
      </c>
      <c r="B53" s="2"/>
      <c r="C53" s="2"/>
      <c r="D53" s="2"/>
      <c r="E53" s="2"/>
      <c r="F53" s="2"/>
      <c r="G53" s="2"/>
      <c r="H53" s="2"/>
      <c r="I53" s="609">
        <f>(SUM(I39:I50)*-1)</f>
        <v>0</v>
      </c>
      <c r="J53" s="2"/>
      <c r="K53" s="2"/>
    </row>
    <row r="54" spans="1:11" ht="15.75">
      <c r="A54" s="578" t="s">
        <v>565</v>
      </c>
      <c r="B54" s="2"/>
      <c r="C54" s="2"/>
      <c r="D54" s="2"/>
      <c r="E54" s="2"/>
      <c r="F54" s="2"/>
      <c r="G54" s="2"/>
      <c r="H54" s="2"/>
      <c r="I54" s="610">
        <f>+H10</f>
        <v>0</v>
      </c>
      <c r="J54" s="2"/>
      <c r="K54" s="2"/>
    </row>
    <row r="55" spans="1:11" ht="15.75">
      <c r="A55" s="578" t="s">
        <v>566</v>
      </c>
      <c r="B55" s="2"/>
      <c r="C55" s="2"/>
      <c r="D55" s="2"/>
      <c r="E55" s="2"/>
      <c r="F55" s="2"/>
      <c r="G55" s="2"/>
      <c r="H55" s="2"/>
      <c r="I55" s="609">
        <f>(I53+I54)</f>
        <v>0</v>
      </c>
      <c r="J55" s="2"/>
      <c r="K55" s="2"/>
    </row>
    <row r="57" spans="1:11" ht="64.5" customHeight="1">
      <c r="A57" s="1348" t="s">
        <v>570</v>
      </c>
      <c r="B57" s="1348"/>
      <c r="C57" s="1348"/>
      <c r="D57" s="1348"/>
      <c r="E57" s="136"/>
      <c r="F57" s="136"/>
      <c r="G57" s="136"/>
      <c r="H57" s="136"/>
      <c r="I57" s="136"/>
      <c r="J57" s="136"/>
      <c r="K57" s="136"/>
    </row>
  </sheetData>
  <mergeCells count="5">
    <mergeCell ref="A1:K1"/>
    <mergeCell ref="A2:K2"/>
    <mergeCell ref="A3:K3"/>
    <mergeCell ref="D4:G4"/>
    <mergeCell ref="A57:D57"/>
  </mergeCells>
  <pageMargins left="0.7" right="0.7" top="0.75" bottom="0.75" header="0.3" footer="0.3"/>
  <pageSetup scale="5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S206"/>
  <sheetViews>
    <sheetView tabSelected="1" view="pageBreakPreview" topLeftCell="A135" zoomScale="85" zoomScaleNormal="50" zoomScaleSheetLayoutView="85" workbookViewId="0">
      <selection activeCell="F7" sqref="F7"/>
    </sheetView>
  </sheetViews>
  <sheetFormatPr defaultRowHeight="12.75"/>
  <cols>
    <col min="1" max="1" width="7.5703125" style="1" bestFit="1" customWidth="1"/>
    <col min="2" max="2" width="57.5703125" bestFit="1" customWidth="1"/>
    <col min="3" max="4" width="14.85546875" customWidth="1"/>
    <col min="5" max="6" width="14.42578125" customWidth="1"/>
    <col min="7" max="7" width="15.42578125" bestFit="1" customWidth="1"/>
    <col min="8" max="8" width="2.5703125" customWidth="1"/>
    <col min="9" max="9" width="15.140625" customWidth="1"/>
    <col min="10" max="10" width="15" bestFit="1" customWidth="1"/>
    <col min="11" max="11" width="13.5703125" bestFit="1" customWidth="1"/>
    <col min="12" max="12" width="2.42578125" customWidth="1"/>
    <col min="13" max="13" width="15.42578125" bestFit="1" customWidth="1"/>
    <col min="14" max="14" width="15" bestFit="1" customWidth="1"/>
    <col min="15" max="15" width="13.5703125" bestFit="1" customWidth="1"/>
    <col min="16" max="16" width="2.5703125" customWidth="1"/>
    <col min="17" max="17" width="13.140625" bestFit="1" customWidth="1"/>
    <col min="18" max="18" width="15" bestFit="1" customWidth="1"/>
    <col min="19" max="19" width="13.5703125" bestFit="1" customWidth="1"/>
  </cols>
  <sheetData>
    <row r="1" spans="1:19">
      <c r="A1" s="785"/>
      <c r="B1" s="825" t="str">
        <f>TCOS!F9</f>
        <v>Appalachian Power Company</v>
      </c>
      <c r="C1" s="773"/>
      <c r="D1" s="773"/>
      <c r="E1" s="773"/>
      <c r="F1" s="773"/>
      <c r="M1" s="773"/>
      <c r="N1" s="773"/>
      <c r="O1" s="773"/>
      <c r="P1" s="773"/>
      <c r="Q1" s="773"/>
      <c r="R1" s="773"/>
    </row>
    <row r="2" spans="1:19">
      <c r="A2" s="785"/>
      <c r="B2" s="171" t="s">
        <v>816</v>
      </c>
      <c r="C2" s="773"/>
      <c r="D2" s="773"/>
      <c r="E2" s="773"/>
      <c r="F2" s="773"/>
      <c r="M2" s="773"/>
      <c r="N2" s="773"/>
      <c r="O2" s="773"/>
      <c r="P2" s="773"/>
      <c r="Q2" s="773"/>
      <c r="R2" s="773"/>
    </row>
    <row r="3" spans="1:19">
      <c r="A3" s="785"/>
      <c r="B3" s="797" t="str">
        <f>"PERIOD ENDED DECEMBER 31, "&amp;TCOS!L4</f>
        <v>PERIOD ENDED DECEMBER 31, 2025</v>
      </c>
      <c r="C3" s="773"/>
      <c r="D3" s="773"/>
      <c r="E3" s="773"/>
      <c r="F3" s="773"/>
      <c r="G3" s="773"/>
      <c r="H3" s="773"/>
      <c r="I3" s="773"/>
      <c r="J3" s="773"/>
      <c r="K3" s="773"/>
      <c r="L3" s="773"/>
      <c r="M3" s="773"/>
      <c r="N3" s="773"/>
      <c r="O3" s="773"/>
      <c r="P3" s="773"/>
      <c r="Q3" s="773"/>
      <c r="R3" s="773"/>
      <c r="S3" s="773"/>
    </row>
    <row r="4" spans="1:19">
      <c r="A4" s="785"/>
      <c r="B4" s="773"/>
      <c r="C4" s="773"/>
      <c r="D4" s="773"/>
      <c r="E4" s="773"/>
      <c r="F4" s="773"/>
      <c r="G4" s="1" t="s">
        <v>695</v>
      </c>
      <c r="H4" s="1"/>
      <c r="I4" s="1"/>
      <c r="J4" s="1"/>
      <c r="K4" s="1"/>
      <c r="L4" s="1"/>
      <c r="M4" s="773"/>
      <c r="N4" s="773"/>
      <c r="O4" s="773"/>
      <c r="P4" s="773"/>
      <c r="Q4" s="773"/>
      <c r="R4" s="773"/>
      <c r="S4" s="773"/>
    </row>
    <row r="5" spans="1:19">
      <c r="A5" s="785"/>
      <c r="B5" s="773"/>
      <c r="C5" s="773"/>
      <c r="D5" s="773"/>
      <c r="E5" s="773"/>
      <c r="F5" s="773"/>
      <c r="G5" s="773"/>
      <c r="H5" s="773"/>
      <c r="I5" s="773"/>
      <c r="J5" s="773"/>
      <c r="K5" s="773"/>
      <c r="L5" s="773"/>
      <c r="M5" s="773"/>
      <c r="N5" s="773"/>
      <c r="O5" s="773"/>
      <c r="P5" s="773"/>
      <c r="Q5" s="773"/>
      <c r="R5" s="773"/>
      <c r="S5" s="773"/>
    </row>
    <row r="6" spans="1:19">
      <c r="A6" s="785"/>
      <c r="B6" s="773"/>
      <c r="C6" s="773"/>
      <c r="D6" s="773"/>
      <c r="E6" s="773"/>
      <c r="F6" s="773"/>
      <c r="G6" s="773"/>
      <c r="H6" s="773"/>
      <c r="I6" s="773"/>
      <c r="J6" s="773"/>
      <c r="K6" s="773"/>
      <c r="L6" s="773"/>
      <c r="M6" s="773"/>
      <c r="N6" s="773"/>
      <c r="O6" s="773"/>
      <c r="P6" s="773"/>
      <c r="Q6" s="773"/>
      <c r="R6" s="773"/>
      <c r="S6" s="773"/>
    </row>
    <row r="7" spans="1:19">
      <c r="A7" s="785"/>
      <c r="B7" s="773"/>
      <c r="C7" s="773"/>
      <c r="D7" s="773"/>
      <c r="E7" s="773"/>
      <c r="F7" s="773"/>
      <c r="G7" s="773"/>
      <c r="H7" s="773"/>
      <c r="I7" s="773"/>
      <c r="J7" s="773"/>
      <c r="K7" s="773"/>
      <c r="L7" s="773"/>
      <c r="M7" s="773"/>
      <c r="N7" s="773"/>
      <c r="O7" s="773"/>
      <c r="P7" s="773"/>
      <c r="Q7" s="773"/>
      <c r="R7" s="773"/>
      <c r="S7" s="773"/>
    </row>
    <row r="8" spans="1:19">
      <c r="A8" s="785"/>
      <c r="B8" s="774" t="s">
        <v>696</v>
      </c>
      <c r="C8" s="774" t="s">
        <v>697</v>
      </c>
      <c r="D8" s="774" t="s">
        <v>698</v>
      </c>
      <c r="E8" s="774" t="s">
        <v>699</v>
      </c>
      <c r="F8" s="774" t="s">
        <v>700</v>
      </c>
      <c r="G8" s="774" t="s">
        <v>701</v>
      </c>
      <c r="H8" s="774"/>
      <c r="I8" s="774" t="s">
        <v>702</v>
      </c>
      <c r="J8" s="774" t="s">
        <v>703</v>
      </c>
      <c r="K8" s="774" t="s">
        <v>704</v>
      </c>
      <c r="L8" s="774"/>
      <c r="M8" s="774" t="s">
        <v>705</v>
      </c>
      <c r="N8" s="774" t="s">
        <v>706</v>
      </c>
      <c r="O8" s="774" t="s">
        <v>707</v>
      </c>
      <c r="P8" s="773"/>
      <c r="Q8" s="774" t="s">
        <v>708</v>
      </c>
      <c r="R8" s="774" t="s">
        <v>709</v>
      </c>
      <c r="S8" s="774" t="s">
        <v>710</v>
      </c>
    </row>
    <row r="9" spans="1:19">
      <c r="A9" s="785"/>
      <c r="B9" s="773"/>
      <c r="C9" s="773"/>
      <c r="D9" s="773"/>
      <c r="E9" s="773"/>
      <c r="F9" s="773"/>
      <c r="G9" s="773"/>
      <c r="H9" s="773"/>
      <c r="I9" s="773"/>
      <c r="J9" s="773"/>
      <c r="K9" s="773"/>
      <c r="L9" s="773"/>
      <c r="M9" s="773"/>
      <c r="N9" s="773"/>
      <c r="O9" s="773"/>
      <c r="P9" s="773"/>
      <c r="Q9" s="773"/>
      <c r="R9" s="773"/>
      <c r="S9" s="773"/>
    </row>
    <row r="10" spans="1:19">
      <c r="A10" s="785"/>
      <c r="B10" s="773"/>
      <c r="C10" s="775" t="s">
        <v>711</v>
      </c>
      <c r="D10" s="775"/>
      <c r="E10" s="776" t="s">
        <v>712</v>
      </c>
      <c r="F10" s="775"/>
      <c r="G10" s="1" t="s">
        <v>713</v>
      </c>
      <c r="H10" s="1"/>
      <c r="I10" s="775" t="s">
        <v>714</v>
      </c>
      <c r="J10" s="775"/>
      <c r="K10" s="775"/>
      <c r="L10" s="1"/>
      <c r="M10" s="775" t="str">
        <f>"FUNCTIONALIZATION 12/31/"&amp;TCOS!L4-1</f>
        <v>FUNCTIONALIZATION 12/31/2024</v>
      </c>
      <c r="N10" s="775"/>
      <c r="O10" s="775"/>
      <c r="P10" s="773"/>
      <c r="Q10" s="775" t="str">
        <f>"FUNCTIONALIZATION 12/31/"&amp;TCOS!L4</f>
        <v>FUNCTIONALIZATION 12/31/2025</v>
      </c>
      <c r="R10" s="775"/>
      <c r="S10" s="775"/>
    </row>
    <row r="11" spans="1:19">
      <c r="A11" s="785"/>
      <c r="B11" s="773"/>
      <c r="C11" s="778"/>
      <c r="D11" s="778"/>
      <c r="E11" s="773"/>
      <c r="F11" s="773"/>
      <c r="G11" s="1" t="s">
        <v>715</v>
      </c>
      <c r="H11" s="1"/>
      <c r="I11" s="778"/>
      <c r="J11" s="778"/>
      <c r="K11" s="778"/>
      <c r="L11" s="1"/>
      <c r="M11" s="778"/>
      <c r="N11" s="778"/>
      <c r="O11" s="778"/>
      <c r="P11" s="773"/>
      <c r="Q11" s="778"/>
      <c r="R11" s="778"/>
      <c r="S11" s="778"/>
    </row>
    <row r="12" spans="1:19">
      <c r="A12" s="785"/>
      <c r="B12" s="773"/>
      <c r="C12" s="1" t="s">
        <v>716</v>
      </c>
      <c r="D12" s="1" t="s">
        <v>716</v>
      </c>
      <c r="E12" s="1" t="s">
        <v>716</v>
      </c>
      <c r="F12" s="1" t="s">
        <v>716</v>
      </c>
      <c r="G12" s="1" t="s">
        <v>717</v>
      </c>
      <c r="H12" s="1"/>
      <c r="I12" s="773"/>
      <c r="J12" s="773"/>
      <c r="K12" s="773"/>
      <c r="L12" s="1"/>
      <c r="M12" s="773"/>
      <c r="N12" s="773"/>
      <c r="O12" s="773"/>
      <c r="P12" s="773"/>
      <c r="Q12" s="773"/>
      <c r="R12" s="773"/>
      <c r="S12" s="773"/>
    </row>
    <row r="13" spans="1:19">
      <c r="A13" s="785"/>
      <c r="B13" s="774" t="s">
        <v>718</v>
      </c>
      <c r="C13" s="774" t="str">
        <f>"OF 12-31-"&amp;TCOS!L4-1</f>
        <v>OF 12-31-2024</v>
      </c>
      <c r="D13" s="774" t="str">
        <f>"OF 12-31-"&amp;TCOS!L4</f>
        <v>OF 12-31-2025</v>
      </c>
      <c r="E13" s="774" t="str">
        <f>"OF 12-31-"&amp;TCOS!L4-1</f>
        <v>OF 12-31-2024</v>
      </c>
      <c r="F13" s="774" t="str">
        <f>"OF 12-31-"&amp;TCOS!L4</f>
        <v>OF 12-31-2025</v>
      </c>
      <c r="G13" s="774" t="s">
        <v>719</v>
      </c>
      <c r="H13" s="774"/>
      <c r="I13" s="774" t="s">
        <v>720</v>
      </c>
      <c r="J13" s="774" t="s">
        <v>721</v>
      </c>
      <c r="K13" s="774" t="s">
        <v>722</v>
      </c>
      <c r="L13" s="774"/>
      <c r="M13" s="774" t="s">
        <v>720</v>
      </c>
      <c r="N13" s="774" t="s">
        <v>721</v>
      </c>
      <c r="O13" s="774" t="s">
        <v>722</v>
      </c>
      <c r="P13" s="773"/>
      <c r="Q13" s="774" t="s">
        <v>720</v>
      </c>
      <c r="R13" s="774" t="s">
        <v>721</v>
      </c>
      <c r="S13" s="774" t="s">
        <v>722</v>
      </c>
    </row>
    <row r="14" spans="1:19">
      <c r="A14" s="785"/>
      <c r="B14" s="773"/>
      <c r="C14" s="773"/>
      <c r="D14" s="773"/>
      <c r="E14" s="773"/>
      <c r="F14" s="773"/>
      <c r="G14" s="773"/>
      <c r="H14" s="773"/>
      <c r="I14" s="773"/>
      <c r="J14" s="773"/>
      <c r="K14" s="773"/>
      <c r="L14" s="773"/>
      <c r="M14" s="773"/>
      <c r="N14" s="773"/>
      <c r="O14" s="773"/>
      <c r="P14" s="773"/>
      <c r="Q14" s="773"/>
      <c r="R14" s="773"/>
      <c r="S14" s="773"/>
    </row>
    <row r="15" spans="1:19">
      <c r="A15" s="796">
        <v>1</v>
      </c>
      <c r="B15" s="621" t="s">
        <v>723</v>
      </c>
      <c r="C15" s="780"/>
      <c r="D15" s="780"/>
      <c r="E15" s="780"/>
      <c r="F15" s="781"/>
      <c r="G15" s="780"/>
      <c r="H15" s="780"/>
      <c r="I15" s="780"/>
      <c r="J15" s="780"/>
      <c r="K15" s="780"/>
      <c r="L15" s="780"/>
      <c r="M15" s="780"/>
      <c r="N15" s="780"/>
      <c r="O15" s="780"/>
      <c r="P15" s="780"/>
      <c r="Q15" s="780"/>
      <c r="R15" s="780"/>
      <c r="S15" s="780"/>
    </row>
    <row r="16" spans="1:19">
      <c r="A16" s="796">
        <v>2.0099999999999998</v>
      </c>
      <c r="B16" s="621"/>
      <c r="C16" s="780"/>
      <c r="D16" s="780"/>
      <c r="E16" s="780"/>
      <c r="F16" s="780"/>
      <c r="G16" s="780"/>
      <c r="H16" s="780"/>
      <c r="I16" s="780"/>
      <c r="J16" s="780"/>
      <c r="K16" s="780"/>
      <c r="L16" s="780"/>
      <c r="M16" s="780"/>
      <c r="N16" s="780"/>
      <c r="O16" s="780"/>
      <c r="P16" s="780"/>
      <c r="Q16" s="780"/>
      <c r="R16" s="780"/>
      <c r="S16" s="780"/>
    </row>
    <row r="17" spans="1:19">
      <c r="A17" s="796">
        <v>2.02</v>
      </c>
      <c r="B17" s="621" t="s">
        <v>961</v>
      </c>
      <c r="C17" s="780">
        <f>SUM(M17:O17)</f>
        <v>194459091.69999999</v>
      </c>
      <c r="D17" s="780">
        <f>SUM(Q17:S17)</f>
        <v>182509445.53</v>
      </c>
      <c r="E17" s="780"/>
      <c r="F17" s="780"/>
      <c r="G17" s="780">
        <f>ROUND(SUM(C17:F17)/2,0)</f>
        <v>188484269</v>
      </c>
      <c r="H17" s="780"/>
      <c r="I17" s="780">
        <f>(M17+Q17)/2</f>
        <v>188484268.61500001</v>
      </c>
      <c r="J17" s="780">
        <f>(N17+R17)/2</f>
        <v>0</v>
      </c>
      <c r="K17" s="780">
        <f>(O17+S17)/2</f>
        <v>0</v>
      </c>
      <c r="L17" s="780"/>
      <c r="M17" s="621">
        <v>194459091.69999999</v>
      </c>
      <c r="N17" s="621"/>
      <c r="O17" s="621"/>
      <c r="P17" s="780"/>
      <c r="Q17" s="621">
        <v>182509445.53</v>
      </c>
      <c r="R17" s="621"/>
      <c r="S17" s="621"/>
    </row>
    <row r="18" spans="1:19">
      <c r="A18" s="796">
        <v>2.0299999999999998</v>
      </c>
      <c r="B18" s="621"/>
      <c r="C18" s="780"/>
      <c r="D18" s="780"/>
      <c r="E18" s="780"/>
      <c r="F18" s="780"/>
      <c r="G18" s="780"/>
      <c r="H18" s="780"/>
      <c r="I18" s="780"/>
      <c r="J18" s="780"/>
      <c r="K18" s="780"/>
      <c r="L18" s="780"/>
      <c r="M18" s="780"/>
      <c r="N18" s="780"/>
      <c r="O18" s="780"/>
      <c r="P18" s="780"/>
      <c r="Q18" s="780"/>
      <c r="R18" s="780"/>
      <c r="S18" s="780"/>
    </row>
    <row r="19" spans="1:19">
      <c r="A19" s="796">
        <v>2.04</v>
      </c>
      <c r="B19" s="621" t="s">
        <v>962</v>
      </c>
      <c r="C19" s="780">
        <v>0</v>
      </c>
      <c r="D19" s="780">
        <v>0</v>
      </c>
      <c r="E19" s="780">
        <v>0</v>
      </c>
      <c r="F19" s="780">
        <v>0</v>
      </c>
      <c r="G19" s="780">
        <f>ROUND(SUM(C19:F19)/2,0)</f>
        <v>0</v>
      </c>
      <c r="H19" s="780"/>
      <c r="I19" s="780"/>
      <c r="J19" s="780"/>
      <c r="K19" s="780"/>
      <c r="L19" s="780"/>
      <c r="M19" s="780"/>
      <c r="N19" s="780"/>
      <c r="O19" s="780"/>
      <c r="P19" s="780"/>
      <c r="Q19" s="780"/>
      <c r="R19" s="780"/>
      <c r="S19" s="780"/>
    </row>
    <row r="20" spans="1:19">
      <c r="A20" s="796">
        <v>2.0499999999999998</v>
      </c>
      <c r="B20" s="621" t="s">
        <v>963</v>
      </c>
      <c r="C20" s="780">
        <v>0</v>
      </c>
      <c r="D20" s="780">
        <v>0</v>
      </c>
      <c r="E20" s="780">
        <v>0</v>
      </c>
      <c r="F20" s="780">
        <v>0</v>
      </c>
      <c r="G20" s="780">
        <f>ROUND(SUM(C20:F20)/2,0)</f>
        <v>0</v>
      </c>
      <c r="H20" s="780"/>
      <c r="I20" s="780"/>
      <c r="J20" s="780"/>
      <c r="K20" s="780"/>
      <c r="L20" s="780"/>
      <c r="M20" s="780"/>
      <c r="N20" s="780"/>
      <c r="O20" s="780"/>
      <c r="P20" s="780"/>
      <c r="Q20" s="780"/>
      <c r="R20" s="780"/>
      <c r="S20" s="780"/>
    </row>
    <row r="21" spans="1:19">
      <c r="A21" s="796">
        <v>2.06</v>
      </c>
      <c r="B21" s="621" t="s">
        <v>964</v>
      </c>
      <c r="C21" s="780">
        <f>-E21</f>
        <v>-80565419.530000001</v>
      </c>
      <c r="D21" s="780">
        <f>-F21</f>
        <v>-76952038.530000001</v>
      </c>
      <c r="E21" s="780">
        <v>80565419.530000001</v>
      </c>
      <c r="F21" s="780">
        <v>76952038.530000001</v>
      </c>
      <c r="G21" s="780">
        <f>ROUND(SUM(C21:F21)/2,0)</f>
        <v>0</v>
      </c>
      <c r="H21" s="780"/>
      <c r="I21" s="780"/>
      <c r="J21" s="780"/>
      <c r="K21" s="780"/>
      <c r="L21" s="780"/>
      <c r="M21" s="780"/>
      <c r="N21" s="780"/>
      <c r="O21" s="780"/>
      <c r="P21" s="780"/>
      <c r="Q21" s="780"/>
      <c r="R21" s="780"/>
      <c r="S21" s="780"/>
    </row>
    <row r="22" spans="1:19">
      <c r="A22" s="792"/>
      <c r="B22" s="773"/>
      <c r="C22" s="780"/>
      <c r="D22" s="780"/>
      <c r="E22" s="780"/>
      <c r="F22" s="780"/>
      <c r="G22" s="780"/>
      <c r="H22" s="780"/>
      <c r="I22" s="780"/>
      <c r="J22" s="780"/>
      <c r="K22" s="780"/>
      <c r="L22" s="780"/>
      <c r="M22" s="780"/>
      <c r="N22" s="780"/>
      <c r="O22" s="780"/>
      <c r="P22" s="780"/>
      <c r="Q22" s="780"/>
      <c r="R22" s="780"/>
      <c r="S22" s="780"/>
    </row>
    <row r="23" spans="1:19" ht="13.5" thickBot="1">
      <c r="A23" s="786">
        <v>3</v>
      </c>
      <c r="B23" t="s">
        <v>724</v>
      </c>
      <c r="C23" s="782">
        <f>SUM(C17:C22)</f>
        <v>113893672.16999999</v>
      </c>
      <c r="D23" s="782">
        <f>SUM(D17:D22)</f>
        <v>105557407</v>
      </c>
      <c r="E23" s="782">
        <f>SUM(E17:E22)</f>
        <v>80565419.530000001</v>
      </c>
      <c r="F23" s="782">
        <f>SUM(F17:F22)</f>
        <v>76952038.530000001</v>
      </c>
      <c r="G23" s="782">
        <f>SUM(G17:G22)</f>
        <v>188484269</v>
      </c>
      <c r="H23" s="780"/>
      <c r="I23" s="782">
        <f>SUM(I17:I22)</f>
        <v>188484268.61500001</v>
      </c>
      <c r="J23" s="782">
        <f>SUM(J17:J22)</f>
        <v>0</v>
      </c>
      <c r="K23" s="782">
        <f>SUM(K17:K22)</f>
        <v>0</v>
      </c>
      <c r="L23" s="780"/>
      <c r="M23" s="782">
        <f>SUM(M17:M22)</f>
        <v>194459091.69999999</v>
      </c>
      <c r="N23" s="782">
        <f>SUM(N17:N22)</f>
        <v>0</v>
      </c>
      <c r="O23" s="782">
        <f>SUM(O17:O22)</f>
        <v>0</v>
      </c>
      <c r="P23" s="780"/>
      <c r="Q23" s="782">
        <f>SUM(Q17:Q22)</f>
        <v>182509445.53</v>
      </c>
      <c r="R23" s="782">
        <f>SUM(R17:R22)</f>
        <v>0</v>
      </c>
      <c r="S23" s="782">
        <f>SUM(S17:S22)</f>
        <v>0</v>
      </c>
    </row>
    <row r="24" spans="1:19" ht="13.5" thickTop="1">
      <c r="A24" s="786">
        <f>A23+1</f>
        <v>4</v>
      </c>
      <c r="B24" s="18" t="s">
        <v>742</v>
      </c>
      <c r="C24" s="789">
        <v>0</v>
      </c>
      <c r="D24" s="789">
        <v>0</v>
      </c>
      <c r="E24" s="789">
        <v>0</v>
      </c>
      <c r="F24" s="789">
        <v>0</v>
      </c>
      <c r="G24" s="789">
        <v>0</v>
      </c>
      <c r="H24" s="790"/>
      <c r="I24" s="789">
        <v>0</v>
      </c>
      <c r="J24" s="789">
        <v>0</v>
      </c>
      <c r="K24" s="789">
        <v>0</v>
      </c>
      <c r="L24" s="790"/>
      <c r="M24" s="789">
        <v>0</v>
      </c>
      <c r="N24" s="789">
        <v>0</v>
      </c>
      <c r="O24" s="789">
        <v>0</v>
      </c>
      <c r="P24" s="790"/>
      <c r="Q24" s="789">
        <v>0</v>
      </c>
      <c r="R24" s="789">
        <v>0</v>
      </c>
      <c r="S24" s="789">
        <v>0</v>
      </c>
    </row>
    <row r="25" spans="1:19">
      <c r="A25" s="786"/>
      <c r="B25" s="773"/>
      <c r="C25" s="780"/>
      <c r="D25" s="780"/>
      <c r="E25" s="780"/>
      <c r="F25" s="780"/>
      <c r="G25" s="780"/>
      <c r="H25" s="780"/>
      <c r="I25" s="780"/>
      <c r="J25" s="780"/>
      <c r="K25" s="780"/>
      <c r="L25" s="780"/>
      <c r="M25" s="780"/>
      <c r="N25" s="780"/>
      <c r="O25" s="780"/>
      <c r="P25" s="780"/>
      <c r="Q25" s="780"/>
      <c r="R25" s="780"/>
      <c r="S25" s="780"/>
    </row>
    <row r="26" spans="1:19">
      <c r="A26" s="786">
        <v>5</v>
      </c>
      <c r="B26" t="s">
        <v>725</v>
      </c>
      <c r="C26" s="780"/>
      <c r="D26" s="780"/>
      <c r="E26" s="780"/>
      <c r="F26" s="780"/>
      <c r="G26" s="780"/>
      <c r="H26" s="780"/>
      <c r="I26" s="780"/>
      <c r="J26" s="780"/>
      <c r="K26" s="780"/>
      <c r="L26" s="780"/>
      <c r="M26" s="780"/>
      <c r="N26" s="780"/>
      <c r="O26" s="780"/>
      <c r="P26" s="780"/>
      <c r="Q26" s="780"/>
      <c r="R26" s="780"/>
      <c r="S26" s="780"/>
    </row>
    <row r="27" spans="1:19">
      <c r="A27" s="793"/>
      <c r="B27" s="773"/>
      <c r="C27" s="780"/>
      <c r="D27" s="780"/>
      <c r="E27" s="780"/>
      <c r="F27" s="780"/>
      <c r="G27" s="780"/>
      <c r="H27" s="780"/>
      <c r="I27" s="780"/>
      <c r="J27" s="780"/>
      <c r="K27" s="780"/>
      <c r="L27" s="780"/>
      <c r="M27" s="780"/>
      <c r="N27" s="780"/>
      <c r="O27" s="780"/>
      <c r="P27" s="780"/>
      <c r="Q27" s="780"/>
      <c r="R27" s="780"/>
      <c r="S27" s="780"/>
    </row>
    <row r="28" spans="1:19">
      <c r="A28" s="796">
        <f>5+0.01</f>
        <v>5.01</v>
      </c>
      <c r="B28" s="621" t="s">
        <v>1306</v>
      </c>
      <c r="C28" s="780">
        <f t="shared" ref="C28:C50" si="0">SUM(M28:O28)</f>
        <v>-41548923</v>
      </c>
      <c r="D28" s="780">
        <f t="shared" ref="D28:D50" si="1">SUM(Q28:S28)</f>
        <v>-36932377</v>
      </c>
      <c r="E28" s="780"/>
      <c r="F28" s="780"/>
      <c r="G28" s="780">
        <f t="shared" ref="G28:G50" si="2">ROUND(SUM(C28:F28)/2,0)</f>
        <v>-39240650</v>
      </c>
      <c r="H28" s="780"/>
      <c r="I28" s="780">
        <f t="shared" ref="I28:I50" si="3">(M28+Q28)/2</f>
        <v>-21400931.5</v>
      </c>
      <c r="J28" s="780">
        <f t="shared" ref="J28:J50" si="4">(N28+R28)/2</f>
        <v>-35111616.5</v>
      </c>
      <c r="K28" s="780">
        <f t="shared" ref="K28:K50" si="5">(O28+S28)/2</f>
        <v>17271898</v>
      </c>
      <c r="L28" s="780"/>
      <c r="M28" s="621">
        <v>-22659810</v>
      </c>
      <c r="N28" s="621">
        <v>-37177005</v>
      </c>
      <c r="O28" s="621">
        <v>18287892</v>
      </c>
      <c r="P28" s="780"/>
      <c r="Q28" s="621">
        <v>-20142053</v>
      </c>
      <c r="R28" s="621">
        <v>-33046228</v>
      </c>
      <c r="S28" s="621">
        <v>16255904</v>
      </c>
    </row>
    <row r="29" spans="1:19">
      <c r="A29" s="796">
        <f t="shared" ref="A29:A58" si="6">A28+0.01</f>
        <v>5.0199999999999996</v>
      </c>
      <c r="B29" s="621" t="s">
        <v>1307</v>
      </c>
      <c r="C29" s="780">
        <f t="shared" si="0"/>
        <v>336243791.98000002</v>
      </c>
      <c r="D29" s="780">
        <f t="shared" si="1"/>
        <v>370276618.98000002</v>
      </c>
      <c r="E29" s="780"/>
      <c r="F29" s="780"/>
      <c r="G29" s="780">
        <f t="shared" si="2"/>
        <v>353260205</v>
      </c>
      <c r="H29" s="780"/>
      <c r="I29" s="780">
        <f t="shared" si="3"/>
        <v>98551549.079999998</v>
      </c>
      <c r="J29" s="780">
        <f t="shared" si="4"/>
        <v>155924045.84</v>
      </c>
      <c r="K29" s="780">
        <f t="shared" si="5"/>
        <v>98784610.560000002</v>
      </c>
      <c r="L29" s="780"/>
      <c r="M29" s="621">
        <v>86853034.079999998</v>
      </c>
      <c r="N29" s="621">
        <v>156561991.84</v>
      </c>
      <c r="O29" s="621">
        <v>92828766.060000002</v>
      </c>
      <c r="P29" s="780"/>
      <c r="Q29" s="621">
        <v>110250064.08</v>
      </c>
      <c r="R29" s="621">
        <v>155286099.84</v>
      </c>
      <c r="S29" s="621">
        <v>104740455.06</v>
      </c>
    </row>
    <row r="30" spans="1:19">
      <c r="A30" s="796">
        <f t="shared" si="6"/>
        <v>5.0299999999999994</v>
      </c>
      <c r="B30" s="621" t="s">
        <v>1308</v>
      </c>
      <c r="C30" s="780">
        <f t="shared" si="0"/>
        <v>27400741.560000002</v>
      </c>
      <c r="D30" s="780">
        <f t="shared" si="1"/>
        <v>18080292.560000002</v>
      </c>
      <c r="E30" s="780"/>
      <c r="F30" s="780"/>
      <c r="G30" s="780">
        <f t="shared" si="2"/>
        <v>22740517</v>
      </c>
      <c r="H30" s="780"/>
      <c r="I30" s="780">
        <f t="shared" si="3"/>
        <v>485420.91000000003</v>
      </c>
      <c r="J30" s="780">
        <f t="shared" si="4"/>
        <v>21899614.890000001</v>
      </c>
      <c r="K30" s="780">
        <f t="shared" si="5"/>
        <v>355481.26</v>
      </c>
      <c r="L30" s="780"/>
      <c r="M30" s="621">
        <v>647228.41</v>
      </c>
      <c r="N30" s="621">
        <v>26279537.890000001</v>
      </c>
      <c r="O30" s="621">
        <v>473975.26</v>
      </c>
      <c r="P30" s="780"/>
      <c r="Q30" s="621">
        <v>323613.41000000003</v>
      </c>
      <c r="R30" s="621">
        <v>17519691.890000001</v>
      </c>
      <c r="S30" s="621">
        <v>236987.26</v>
      </c>
    </row>
    <row r="31" spans="1:19">
      <c r="A31" s="796">
        <f t="shared" si="6"/>
        <v>5.0399999999999991</v>
      </c>
      <c r="B31" s="621" t="s">
        <v>1309</v>
      </c>
      <c r="C31" s="780">
        <f t="shared" si="0"/>
        <v>4599775.1399999997</v>
      </c>
      <c r="D31" s="780">
        <f t="shared" si="1"/>
        <v>4599775.1399999997</v>
      </c>
      <c r="E31" s="780"/>
      <c r="F31" s="780"/>
      <c r="G31" s="780">
        <f t="shared" si="2"/>
        <v>4599775</v>
      </c>
      <c r="H31" s="780"/>
      <c r="I31" s="780">
        <f t="shared" si="3"/>
        <v>1464473.6600000001</v>
      </c>
      <c r="J31" s="780">
        <f t="shared" si="4"/>
        <v>3030229.19</v>
      </c>
      <c r="K31" s="780">
        <f t="shared" si="5"/>
        <v>105072.29000000001</v>
      </c>
      <c r="L31" s="780"/>
      <c r="M31" s="621">
        <v>1464473.6600000001</v>
      </c>
      <c r="N31" s="621">
        <v>3030229.19</v>
      </c>
      <c r="O31" s="621">
        <v>105072.29000000001</v>
      </c>
      <c r="P31" s="780"/>
      <c r="Q31" s="621">
        <v>1464473.6600000001</v>
      </c>
      <c r="R31" s="621">
        <v>3030229.19</v>
      </c>
      <c r="S31" s="621">
        <v>105072.29000000001</v>
      </c>
    </row>
    <row r="32" spans="1:19">
      <c r="A32" s="796">
        <f t="shared" si="6"/>
        <v>5.0499999999999989</v>
      </c>
      <c r="B32" s="621" t="s">
        <v>1310</v>
      </c>
      <c r="C32" s="1186">
        <f t="shared" si="0"/>
        <v>36366780.229999997</v>
      </c>
      <c r="D32" s="1186">
        <f t="shared" si="1"/>
        <v>38981288.630000003</v>
      </c>
      <c r="E32" s="1186"/>
      <c r="F32" s="1186"/>
      <c r="G32" s="1186">
        <f t="shared" si="2"/>
        <v>37674034</v>
      </c>
      <c r="H32" s="1186"/>
      <c r="I32" s="1186">
        <f t="shared" si="3"/>
        <v>37499233.844999999</v>
      </c>
      <c r="J32" s="1186">
        <f t="shared" si="4"/>
        <v>373.6</v>
      </c>
      <c r="K32" s="1186">
        <f t="shared" si="5"/>
        <v>174426.98499999999</v>
      </c>
      <c r="L32" s="1186"/>
      <c r="M32" s="621">
        <v>36187442.490000002</v>
      </c>
      <c r="N32" s="621">
        <v>392.08</v>
      </c>
      <c r="O32" s="621">
        <v>178945.66</v>
      </c>
      <c r="P32" s="1186"/>
      <c r="Q32" s="621">
        <v>38811025.200000003</v>
      </c>
      <c r="R32" s="621">
        <v>355.12</v>
      </c>
      <c r="S32" s="621">
        <v>169908.31</v>
      </c>
    </row>
    <row r="33" spans="1:19">
      <c r="A33" s="796">
        <f t="shared" si="6"/>
        <v>5.0599999999999987</v>
      </c>
      <c r="B33" s="621" t="s">
        <v>1311</v>
      </c>
      <c r="C33" s="780">
        <f t="shared" si="0"/>
        <v>42191370.329999998</v>
      </c>
      <c r="D33" s="780">
        <f t="shared" si="1"/>
        <v>42191370.329999998</v>
      </c>
      <c r="E33" s="780"/>
      <c r="F33" s="780"/>
      <c r="G33" s="780">
        <f t="shared" si="2"/>
        <v>42191370</v>
      </c>
      <c r="H33" s="780"/>
      <c r="I33" s="780">
        <f t="shared" si="3"/>
        <v>10100731.59</v>
      </c>
      <c r="J33" s="780">
        <f t="shared" si="4"/>
        <v>1283173.1600000001</v>
      </c>
      <c r="K33" s="780">
        <f t="shared" si="5"/>
        <v>30807465.579999998</v>
      </c>
      <c r="L33" s="780"/>
      <c r="M33" s="621">
        <v>10100731.59</v>
      </c>
      <c r="N33" s="621">
        <v>1283173.1600000001</v>
      </c>
      <c r="O33" s="621">
        <v>30807465.579999998</v>
      </c>
      <c r="P33" s="780"/>
      <c r="Q33" s="621">
        <v>10100731.59</v>
      </c>
      <c r="R33" s="621">
        <v>1283173.1600000001</v>
      </c>
      <c r="S33" s="621">
        <v>30807465.579999998</v>
      </c>
    </row>
    <row r="34" spans="1:19">
      <c r="A34" s="796">
        <f t="shared" si="6"/>
        <v>5.0699999999999985</v>
      </c>
      <c r="B34" s="621" t="s">
        <v>1312</v>
      </c>
      <c r="C34" s="780">
        <f t="shared" si="0"/>
        <v>-16722581.149999999</v>
      </c>
      <c r="D34" s="780">
        <f t="shared" si="1"/>
        <v>-18521574.289999999</v>
      </c>
      <c r="E34" s="780"/>
      <c r="F34" s="780"/>
      <c r="G34" s="780">
        <f t="shared" si="2"/>
        <v>-17622078</v>
      </c>
      <c r="H34" s="780"/>
      <c r="I34" s="780">
        <f t="shared" si="3"/>
        <v>0</v>
      </c>
      <c r="J34" s="780">
        <f t="shared" si="4"/>
        <v>-4241270.625</v>
      </c>
      <c r="K34" s="780">
        <f t="shared" si="5"/>
        <v>-13380807.094999999</v>
      </c>
      <c r="L34" s="780"/>
      <c r="M34" s="621"/>
      <c r="N34" s="621">
        <v>-4096807.53</v>
      </c>
      <c r="O34" s="621">
        <v>-12625773.619999999</v>
      </c>
      <c r="P34" s="780"/>
      <c r="Q34" s="621">
        <v>0</v>
      </c>
      <c r="R34" s="621">
        <v>-4385733.72</v>
      </c>
      <c r="S34" s="621">
        <v>-14135840.57</v>
      </c>
    </row>
    <row r="35" spans="1:19">
      <c r="A35" s="796">
        <f t="shared" si="6"/>
        <v>5.0799999999999983</v>
      </c>
      <c r="B35" s="621" t="s">
        <v>1313</v>
      </c>
      <c r="C35" s="780">
        <f t="shared" si="0"/>
        <v>67150136.219999999</v>
      </c>
      <c r="D35" s="780">
        <f t="shared" si="1"/>
        <v>80437951.120000005</v>
      </c>
      <c r="E35" s="780"/>
      <c r="F35" s="780"/>
      <c r="G35" s="780">
        <f t="shared" si="2"/>
        <v>73794044</v>
      </c>
      <c r="H35" s="780"/>
      <c r="I35" s="780">
        <f t="shared" si="3"/>
        <v>27596411.960000001</v>
      </c>
      <c r="J35" s="780">
        <f t="shared" si="4"/>
        <v>10490113.295</v>
      </c>
      <c r="K35" s="780">
        <f t="shared" si="5"/>
        <v>35707518.414999999</v>
      </c>
      <c r="L35" s="780"/>
      <c r="M35" s="621">
        <v>25834052.59</v>
      </c>
      <c r="N35" s="621">
        <v>8711566.8399999999</v>
      </c>
      <c r="O35" s="621">
        <v>32604516.789999999</v>
      </c>
      <c r="P35" s="780"/>
      <c r="Q35" s="621">
        <v>29358771.329999998</v>
      </c>
      <c r="R35" s="621">
        <v>12268659.75</v>
      </c>
      <c r="S35" s="621">
        <v>38810520.039999999</v>
      </c>
    </row>
    <row r="36" spans="1:19">
      <c r="A36" s="796">
        <f t="shared" si="6"/>
        <v>5.0899999999999981</v>
      </c>
      <c r="B36" s="621" t="s">
        <v>1314</v>
      </c>
      <c r="C36" s="780">
        <f t="shared" si="0"/>
        <v>-95458832.739999995</v>
      </c>
      <c r="D36" s="780">
        <f t="shared" si="1"/>
        <v>-99800345.549999997</v>
      </c>
      <c r="E36" s="780"/>
      <c r="F36" s="780"/>
      <c r="G36" s="780">
        <f t="shared" si="2"/>
        <v>-97629589</v>
      </c>
      <c r="H36" s="780"/>
      <c r="I36" s="780">
        <f t="shared" si="3"/>
        <v>-48265248.039999999</v>
      </c>
      <c r="J36" s="780">
        <f t="shared" si="4"/>
        <v>-37522929.945</v>
      </c>
      <c r="K36" s="780">
        <f t="shared" si="5"/>
        <v>-11841411.16</v>
      </c>
      <c r="L36" s="780"/>
      <c r="M36" s="621">
        <v>-47743049.159999996</v>
      </c>
      <c r="N36" s="621">
        <v>-36386686.310000002</v>
      </c>
      <c r="O36" s="621">
        <v>-11329097.27</v>
      </c>
      <c r="P36" s="780"/>
      <c r="Q36" s="621">
        <v>-48787446.920000002</v>
      </c>
      <c r="R36" s="621">
        <v>-38659173.579999998</v>
      </c>
      <c r="S36" s="621">
        <v>-12353725.050000001</v>
      </c>
    </row>
    <row r="37" spans="1:19">
      <c r="A37" s="796">
        <f t="shared" si="6"/>
        <v>5.0999999999999979</v>
      </c>
      <c r="B37" s="621" t="s">
        <v>1315</v>
      </c>
      <c r="C37" s="780">
        <f t="shared" si="0"/>
        <v>100122797.67</v>
      </c>
      <c r="D37" s="780">
        <f t="shared" si="1"/>
        <v>124599495.53999999</v>
      </c>
      <c r="E37" s="780"/>
      <c r="F37" s="780"/>
      <c r="G37" s="780">
        <f t="shared" si="2"/>
        <v>112361147</v>
      </c>
      <c r="H37" s="780"/>
      <c r="I37" s="780">
        <f t="shared" si="3"/>
        <v>18288012.515000001</v>
      </c>
      <c r="J37" s="780">
        <f t="shared" si="4"/>
        <v>43165486.784999996</v>
      </c>
      <c r="K37" s="780">
        <f t="shared" si="5"/>
        <v>50907647.305</v>
      </c>
      <c r="L37" s="780"/>
      <c r="M37" s="621">
        <v>15648658.619999999</v>
      </c>
      <c r="N37" s="621">
        <v>39462805.200000003</v>
      </c>
      <c r="O37" s="621">
        <v>45011333.850000001</v>
      </c>
      <c r="P37" s="780"/>
      <c r="Q37" s="621">
        <v>20927366.41</v>
      </c>
      <c r="R37" s="621">
        <v>46868168.369999997</v>
      </c>
      <c r="S37" s="621">
        <v>56803960.759999998</v>
      </c>
    </row>
    <row r="38" spans="1:19">
      <c r="A38" s="796">
        <f t="shared" si="6"/>
        <v>5.1099999999999977</v>
      </c>
      <c r="B38" s="621" t="s">
        <v>1316</v>
      </c>
      <c r="C38" s="780">
        <f t="shared" si="0"/>
        <v>885006632.7299999</v>
      </c>
      <c r="D38" s="780">
        <f t="shared" si="1"/>
        <v>856782089.41000009</v>
      </c>
      <c r="E38" s="780"/>
      <c r="F38" s="780"/>
      <c r="G38" s="780">
        <f t="shared" si="2"/>
        <v>870894361</v>
      </c>
      <c r="H38" s="780"/>
      <c r="I38" s="780">
        <f t="shared" si="3"/>
        <v>274265764.72500002</v>
      </c>
      <c r="J38" s="780">
        <f t="shared" si="4"/>
        <v>385219498.02499998</v>
      </c>
      <c r="K38" s="780">
        <f t="shared" si="5"/>
        <v>211409098.31999999</v>
      </c>
      <c r="L38" s="780"/>
      <c r="M38" s="621">
        <v>281422636.88999999</v>
      </c>
      <c r="N38" s="621">
        <v>380135199.67000002</v>
      </c>
      <c r="O38" s="621">
        <v>223448796.16999999</v>
      </c>
      <c r="P38" s="780"/>
      <c r="Q38" s="621">
        <v>267108892.56</v>
      </c>
      <c r="R38" s="621">
        <v>390303796.38</v>
      </c>
      <c r="S38" s="621">
        <v>199369400.47</v>
      </c>
    </row>
    <row r="39" spans="1:19">
      <c r="A39" s="796">
        <f t="shared" si="6"/>
        <v>5.1199999999999974</v>
      </c>
      <c r="B39" s="621" t="s">
        <v>1317</v>
      </c>
      <c r="C39" s="780">
        <f t="shared" si="0"/>
        <v>11198603.67</v>
      </c>
      <c r="D39" s="780">
        <f t="shared" si="1"/>
        <v>11198603.67</v>
      </c>
      <c r="E39" s="780"/>
      <c r="F39" s="780"/>
      <c r="G39" s="780">
        <f t="shared" si="2"/>
        <v>11198604</v>
      </c>
      <c r="H39" s="780"/>
      <c r="I39" s="780">
        <f t="shared" si="3"/>
        <v>11198603.67</v>
      </c>
      <c r="J39" s="780">
        <f t="shared" si="4"/>
        <v>0</v>
      </c>
      <c r="K39" s="780">
        <f t="shared" si="5"/>
        <v>0</v>
      </c>
      <c r="L39" s="780"/>
      <c r="M39" s="621">
        <v>11198603.67</v>
      </c>
      <c r="N39" s="621"/>
      <c r="O39" s="621"/>
      <c r="P39" s="780"/>
      <c r="Q39" s="621">
        <v>11198603.67</v>
      </c>
      <c r="R39" s="621"/>
      <c r="S39" s="621">
        <v>0</v>
      </c>
    </row>
    <row r="40" spans="1:19">
      <c r="A40" s="796">
        <f t="shared" si="6"/>
        <v>5.1299999999999972</v>
      </c>
      <c r="B40" s="621" t="s">
        <v>1318</v>
      </c>
      <c r="C40" s="780">
        <f t="shared" si="0"/>
        <v>2316072.29</v>
      </c>
      <c r="D40" s="780">
        <f t="shared" si="1"/>
        <v>2316072.29</v>
      </c>
      <c r="E40" s="780"/>
      <c r="F40" s="780"/>
      <c r="G40" s="780">
        <f t="shared" si="2"/>
        <v>2316072</v>
      </c>
      <c r="H40" s="780"/>
      <c r="I40" s="780">
        <f t="shared" si="3"/>
        <v>2020289.39</v>
      </c>
      <c r="J40" s="780">
        <f t="shared" si="4"/>
        <v>82604.759999999995</v>
      </c>
      <c r="K40" s="780">
        <f t="shared" si="5"/>
        <v>213178.14</v>
      </c>
      <c r="L40" s="780"/>
      <c r="M40" s="621">
        <v>2020289.39</v>
      </c>
      <c r="N40" s="621">
        <v>82604.759999999995</v>
      </c>
      <c r="O40" s="621">
        <v>213178.14</v>
      </c>
      <c r="P40" s="780"/>
      <c r="Q40" s="621">
        <v>2020289.39</v>
      </c>
      <c r="R40" s="621">
        <v>82604.759999999995</v>
      </c>
      <c r="S40" s="621">
        <v>213178.14</v>
      </c>
    </row>
    <row r="41" spans="1:19">
      <c r="A41" s="796">
        <f t="shared" si="6"/>
        <v>5.139999999999997</v>
      </c>
      <c r="B41" s="621" t="s">
        <v>1319</v>
      </c>
      <c r="C41" s="780">
        <f t="shared" si="0"/>
        <v>4762678.78</v>
      </c>
      <c r="D41" s="780">
        <f t="shared" si="1"/>
        <v>5432795.7700000005</v>
      </c>
      <c r="E41" s="780"/>
      <c r="F41" s="780"/>
      <c r="G41" s="780">
        <f t="shared" si="2"/>
        <v>5097737</v>
      </c>
      <c r="H41" s="780"/>
      <c r="I41" s="780">
        <f t="shared" si="3"/>
        <v>0</v>
      </c>
      <c r="J41" s="780">
        <f t="shared" si="4"/>
        <v>444636.99</v>
      </c>
      <c r="K41" s="780">
        <f t="shared" si="5"/>
        <v>4653100.2850000001</v>
      </c>
      <c r="L41" s="780"/>
      <c r="M41" s="621"/>
      <c r="N41" s="621">
        <v>444636.99</v>
      </c>
      <c r="O41" s="621">
        <v>4318041.79</v>
      </c>
      <c r="P41" s="780"/>
      <c r="Q41" s="621">
        <v>0</v>
      </c>
      <c r="R41" s="621">
        <v>444636.99</v>
      </c>
      <c r="S41" s="621">
        <v>4988158.78</v>
      </c>
    </row>
    <row r="42" spans="1:19">
      <c r="A42" s="796">
        <f t="shared" si="6"/>
        <v>5.1499999999999968</v>
      </c>
      <c r="B42" s="621" t="s">
        <v>1320</v>
      </c>
      <c r="C42" s="780">
        <f t="shared" si="0"/>
        <v>294470975.25999999</v>
      </c>
      <c r="D42" s="780">
        <f t="shared" si="1"/>
        <v>317009049.99000001</v>
      </c>
      <c r="E42" s="780"/>
      <c r="F42" s="780"/>
      <c r="G42" s="780">
        <f t="shared" si="2"/>
        <v>305740013</v>
      </c>
      <c r="H42" s="780"/>
      <c r="I42" s="780">
        <f t="shared" si="3"/>
        <v>123970011.38499999</v>
      </c>
      <c r="J42" s="780">
        <f t="shared" si="4"/>
        <v>56482842.795000002</v>
      </c>
      <c r="K42" s="780">
        <f t="shared" si="5"/>
        <v>125287158.44499999</v>
      </c>
      <c r="L42" s="780"/>
      <c r="M42" s="621">
        <v>119630430.83</v>
      </c>
      <c r="N42" s="621">
        <v>54401093.009999998</v>
      </c>
      <c r="O42" s="621">
        <v>120439451.42</v>
      </c>
      <c r="P42" s="780"/>
      <c r="Q42" s="621">
        <v>128309591.94</v>
      </c>
      <c r="R42" s="621">
        <v>58564592.579999998</v>
      </c>
      <c r="S42" s="621">
        <v>130134865.47</v>
      </c>
    </row>
    <row r="43" spans="1:19">
      <c r="A43" s="796">
        <f t="shared" si="6"/>
        <v>5.1599999999999966</v>
      </c>
      <c r="B43" s="621" t="s">
        <v>1260</v>
      </c>
      <c r="C43" s="780">
        <f t="shared" si="0"/>
        <v>222583874.97999999</v>
      </c>
      <c r="D43" s="780">
        <f t="shared" si="1"/>
        <v>250381417.56</v>
      </c>
      <c r="E43" s="780"/>
      <c r="F43" s="780"/>
      <c r="G43" s="780">
        <f t="shared" si="2"/>
        <v>236482646</v>
      </c>
      <c r="H43" s="780"/>
      <c r="I43" s="780">
        <f t="shared" si="3"/>
        <v>94711052.604999989</v>
      </c>
      <c r="J43" s="780">
        <f t="shared" si="4"/>
        <v>43508435.835000001</v>
      </c>
      <c r="K43" s="780">
        <f t="shared" si="5"/>
        <v>98263157.829999998</v>
      </c>
      <c r="L43" s="780"/>
      <c r="M43" s="621">
        <v>89358790.689999998</v>
      </c>
      <c r="N43" s="621">
        <v>40940890.719999999</v>
      </c>
      <c r="O43" s="621">
        <v>92284193.569999993</v>
      </c>
      <c r="P43" s="780"/>
      <c r="Q43" s="621">
        <v>100063314.52</v>
      </c>
      <c r="R43" s="621">
        <v>46075980.950000003</v>
      </c>
      <c r="S43" s="621">
        <v>104242122.09</v>
      </c>
    </row>
    <row r="44" spans="1:19">
      <c r="A44" s="796">
        <f t="shared" si="6"/>
        <v>5.1699999999999964</v>
      </c>
      <c r="B44" s="621" t="s">
        <v>1321</v>
      </c>
      <c r="C44" s="780">
        <f t="shared" si="0"/>
        <v>-72729.78</v>
      </c>
      <c r="D44" s="780">
        <f t="shared" si="1"/>
        <v>-75529.12999999999</v>
      </c>
      <c r="E44" s="780"/>
      <c r="F44" s="780"/>
      <c r="G44" s="780">
        <f t="shared" si="2"/>
        <v>-74129</v>
      </c>
      <c r="H44" s="780"/>
      <c r="I44" s="780">
        <f t="shared" si="3"/>
        <v>-506.58</v>
      </c>
      <c r="J44" s="780">
        <f t="shared" si="4"/>
        <v>-1259.2049999999999</v>
      </c>
      <c r="K44" s="780">
        <f t="shared" si="5"/>
        <v>-72363.67</v>
      </c>
      <c r="L44" s="780"/>
      <c r="M44" s="621">
        <v>-506.58</v>
      </c>
      <c r="N44" s="621">
        <v>-1063.6200000000001</v>
      </c>
      <c r="O44" s="621">
        <v>-71159.58</v>
      </c>
      <c r="P44" s="780"/>
      <c r="Q44" s="621">
        <v>-506.58</v>
      </c>
      <c r="R44" s="621">
        <v>-1454.79</v>
      </c>
      <c r="S44" s="621">
        <v>-73567.759999999995</v>
      </c>
    </row>
    <row r="45" spans="1:19">
      <c r="A45" s="796">
        <f t="shared" si="6"/>
        <v>5.1799999999999962</v>
      </c>
      <c r="B45" s="621" t="s">
        <v>1322</v>
      </c>
      <c r="C45" s="780">
        <f t="shared" si="0"/>
        <v>-68079625.680000007</v>
      </c>
      <c r="D45" s="780">
        <f t="shared" si="1"/>
        <v>-68079625.680000007</v>
      </c>
      <c r="E45" s="780"/>
      <c r="F45" s="780"/>
      <c r="G45" s="780">
        <f t="shared" si="2"/>
        <v>-68079626</v>
      </c>
      <c r="H45" s="780"/>
      <c r="I45" s="780">
        <f t="shared" si="3"/>
        <v>-31668796.07</v>
      </c>
      <c r="J45" s="780">
        <f t="shared" si="4"/>
        <v>-4699970.71</v>
      </c>
      <c r="K45" s="780">
        <f t="shared" si="5"/>
        <v>-31710858.899999999</v>
      </c>
      <c r="L45" s="780"/>
      <c r="M45" s="621">
        <v>-31668796.07</v>
      </c>
      <c r="N45" s="621">
        <v>-4699970.71</v>
      </c>
      <c r="O45" s="621">
        <v>-31710858.899999999</v>
      </c>
      <c r="P45" s="780"/>
      <c r="Q45" s="621">
        <v>-31668796.07</v>
      </c>
      <c r="R45" s="621">
        <v>-4699970.71</v>
      </c>
      <c r="S45" s="621">
        <v>-31710858.899999999</v>
      </c>
    </row>
    <row r="46" spans="1:19">
      <c r="A46" s="796">
        <f t="shared" si="6"/>
        <v>5.1899999999999959</v>
      </c>
      <c r="B46" s="621" t="s">
        <v>1323</v>
      </c>
      <c r="C46" s="780">
        <f t="shared" si="0"/>
        <v>0.21</v>
      </c>
      <c r="D46" s="780">
        <f t="shared" si="1"/>
        <v>0</v>
      </c>
      <c r="E46" s="780"/>
      <c r="F46" s="780"/>
      <c r="G46" s="780">
        <f t="shared" si="2"/>
        <v>0</v>
      </c>
      <c r="H46" s="780"/>
      <c r="I46" s="780">
        <f t="shared" si="3"/>
        <v>0.105</v>
      </c>
      <c r="J46" s="780">
        <f t="shared" si="4"/>
        <v>-0.105</v>
      </c>
      <c r="K46" s="780">
        <f t="shared" si="5"/>
        <v>0.105</v>
      </c>
      <c r="L46" s="780"/>
      <c r="M46" s="621">
        <v>0.21</v>
      </c>
      <c r="N46" s="621">
        <v>-0.21</v>
      </c>
      <c r="O46" s="621">
        <v>0.21</v>
      </c>
      <c r="P46" s="780"/>
      <c r="Q46" s="621">
        <v>0</v>
      </c>
      <c r="R46" s="621">
        <v>0</v>
      </c>
      <c r="S46" s="621">
        <v>0</v>
      </c>
    </row>
    <row r="47" spans="1:19">
      <c r="A47" s="796">
        <f t="shared" si="6"/>
        <v>5.1999999999999957</v>
      </c>
      <c r="B47" s="621" t="s">
        <v>1324</v>
      </c>
      <c r="C47" s="780">
        <f t="shared" si="0"/>
        <v>-15530144.07</v>
      </c>
      <c r="D47" s="780">
        <f t="shared" si="1"/>
        <v>0</v>
      </c>
      <c r="E47" s="780"/>
      <c r="F47" s="780"/>
      <c r="G47" s="780">
        <f t="shared" si="2"/>
        <v>-7765072</v>
      </c>
      <c r="H47" s="780"/>
      <c r="I47" s="780">
        <f t="shared" si="3"/>
        <v>-2446308.585</v>
      </c>
      <c r="J47" s="780">
        <f t="shared" si="4"/>
        <v>-1519828.8</v>
      </c>
      <c r="K47" s="780">
        <f t="shared" si="5"/>
        <v>-3798934.65</v>
      </c>
      <c r="L47" s="780"/>
      <c r="M47" s="621">
        <v>-4892617.17</v>
      </c>
      <c r="N47" s="621">
        <v>-3039657.6</v>
      </c>
      <c r="O47" s="621">
        <v>-7597869.2999999998</v>
      </c>
      <c r="P47" s="780"/>
      <c r="Q47" s="621">
        <v>0</v>
      </c>
      <c r="R47" s="621">
        <v>0</v>
      </c>
      <c r="S47" s="621">
        <v>0</v>
      </c>
    </row>
    <row r="48" spans="1:19">
      <c r="A48" s="796">
        <f t="shared" si="6"/>
        <v>5.2099999999999955</v>
      </c>
      <c r="B48" s="621" t="s">
        <v>1325</v>
      </c>
      <c r="C48" s="780">
        <f t="shared" si="0"/>
        <v>-0.13</v>
      </c>
      <c r="D48" s="780">
        <f t="shared" si="1"/>
        <v>-0.13</v>
      </c>
      <c r="E48" s="780"/>
      <c r="F48" s="780"/>
      <c r="G48" s="780">
        <f t="shared" si="2"/>
        <v>0</v>
      </c>
      <c r="H48" s="780"/>
      <c r="I48" s="780">
        <f t="shared" si="3"/>
        <v>0</v>
      </c>
      <c r="J48" s="780">
        <f t="shared" si="4"/>
        <v>-0.13</v>
      </c>
      <c r="K48" s="780">
        <f t="shared" si="5"/>
        <v>0</v>
      </c>
      <c r="L48" s="780"/>
      <c r="M48" s="621"/>
      <c r="N48" s="621">
        <v>-0.13</v>
      </c>
      <c r="O48" s="621"/>
      <c r="P48" s="780"/>
      <c r="Q48" s="621">
        <v>0</v>
      </c>
      <c r="R48" s="621">
        <v>-0.13</v>
      </c>
      <c r="S48" s="621">
        <v>0</v>
      </c>
    </row>
    <row r="49" spans="1:19">
      <c r="A49" s="796">
        <f t="shared" si="6"/>
        <v>5.2199999999999953</v>
      </c>
      <c r="B49" s="621" t="s">
        <v>1326</v>
      </c>
      <c r="C49" s="780">
        <f t="shared" si="0"/>
        <v>738161.87</v>
      </c>
      <c r="D49" s="780">
        <f t="shared" si="1"/>
        <v>741854.26</v>
      </c>
      <c r="E49" s="780"/>
      <c r="F49" s="780"/>
      <c r="G49" s="780">
        <f t="shared" si="2"/>
        <v>740008</v>
      </c>
      <c r="H49" s="780"/>
      <c r="I49" s="780">
        <f t="shared" si="3"/>
        <v>219886.85499999998</v>
      </c>
      <c r="J49" s="780">
        <f t="shared" si="4"/>
        <v>112223.38500000001</v>
      </c>
      <c r="K49" s="780">
        <f t="shared" si="5"/>
        <v>407897.82500000001</v>
      </c>
      <c r="L49" s="780"/>
      <c r="M49" s="621">
        <v>223100.09</v>
      </c>
      <c r="N49" s="621">
        <v>111567.01000000001</v>
      </c>
      <c r="O49" s="621">
        <v>403494.77</v>
      </c>
      <c r="P49" s="780"/>
      <c r="Q49" s="621">
        <v>216673.62</v>
      </c>
      <c r="R49" s="621">
        <v>112879.76000000001</v>
      </c>
      <c r="S49" s="621">
        <v>412300.88</v>
      </c>
    </row>
    <row r="50" spans="1:19">
      <c r="A50" s="796">
        <f t="shared" si="6"/>
        <v>5.2299999999999951</v>
      </c>
      <c r="B50" s="621" t="s">
        <v>1327</v>
      </c>
      <c r="C50" s="780">
        <f t="shared" si="0"/>
        <v>14073020.850000001</v>
      </c>
      <c r="D50" s="780">
        <f t="shared" si="1"/>
        <v>19973548.02</v>
      </c>
      <c r="E50" s="780"/>
      <c r="F50" s="780"/>
      <c r="G50" s="780">
        <f t="shared" si="2"/>
        <v>17023284</v>
      </c>
      <c r="H50" s="780"/>
      <c r="I50" s="780">
        <f t="shared" si="3"/>
        <v>10040508.904999999</v>
      </c>
      <c r="J50" s="780">
        <f t="shared" si="4"/>
        <v>178647.73500000002</v>
      </c>
      <c r="K50" s="780">
        <f t="shared" si="5"/>
        <v>6804127.7949999999</v>
      </c>
      <c r="L50" s="780"/>
      <c r="M50" s="621">
        <v>6917662.8600000003</v>
      </c>
      <c r="N50" s="621">
        <v>176960.33000000002</v>
      </c>
      <c r="O50" s="621">
        <v>6978397.6600000001</v>
      </c>
      <c r="P50" s="780"/>
      <c r="Q50" s="621">
        <v>13163354.949999999</v>
      </c>
      <c r="R50" s="621">
        <v>180335.14</v>
      </c>
      <c r="S50" s="621">
        <v>6629857.9299999997</v>
      </c>
    </row>
    <row r="51" spans="1:19">
      <c r="A51" s="796">
        <f t="shared" si="6"/>
        <v>5.2399999999999949</v>
      </c>
      <c r="B51" s="1173" t="s">
        <v>1227</v>
      </c>
      <c r="C51" s="1173">
        <f t="shared" ref="C51" si="7">SUM(M51:O51)</f>
        <v>-22848801.296222564</v>
      </c>
      <c r="D51" s="1173">
        <f t="shared" ref="D51" si="8">SUM(Q51:S51)</f>
        <v>0</v>
      </c>
      <c r="E51" s="1174"/>
      <c r="F51" s="1174"/>
      <c r="G51" s="780">
        <f t="shared" ref="G51" si="9">ROUND(SUM(C51:F51)/2,0)</f>
        <v>-11424401</v>
      </c>
      <c r="H51" s="780"/>
      <c r="I51" s="780">
        <f t="shared" ref="I51" si="10">(M51+Q51)/2</f>
        <v>0</v>
      </c>
      <c r="J51" s="780">
        <f t="shared" ref="J51" si="11">(N51+R51)/2</f>
        <v>-11424400.648111282</v>
      </c>
      <c r="K51" s="780">
        <f t="shared" ref="K51" si="12">(O51+S51)/2</f>
        <v>0</v>
      </c>
      <c r="L51" s="780"/>
      <c r="M51" s="621">
        <v>0</v>
      </c>
      <c r="N51" s="621">
        <v>-22848801.296222564</v>
      </c>
      <c r="O51" s="621">
        <v>0</v>
      </c>
      <c r="P51" s="780"/>
      <c r="Q51" s="621"/>
      <c r="R51" s="621"/>
      <c r="S51" s="621"/>
    </row>
    <row r="52" spans="1:19">
      <c r="A52" s="796">
        <f t="shared" si="6"/>
        <v>5.2499999999999947</v>
      </c>
      <c r="B52" s="1173" t="s">
        <v>1228</v>
      </c>
      <c r="C52" s="1173">
        <f>-E52</f>
        <v>22848801.296222564</v>
      </c>
      <c r="D52" s="1173">
        <f>-F52</f>
        <v>0</v>
      </c>
      <c r="E52" s="1174">
        <f>C51</f>
        <v>-22848801.296222564</v>
      </c>
      <c r="F52" s="1174">
        <f>D51</f>
        <v>0</v>
      </c>
      <c r="G52" s="780"/>
      <c r="H52" s="780"/>
      <c r="I52" s="780"/>
      <c r="J52" s="780"/>
      <c r="K52" s="780"/>
      <c r="L52" s="780"/>
      <c r="M52" s="990"/>
      <c r="N52" s="990"/>
      <c r="O52" s="990"/>
      <c r="P52" s="780"/>
      <c r="Q52" s="990"/>
      <c r="R52" s="990"/>
      <c r="S52" s="990"/>
    </row>
    <row r="53" spans="1:19">
      <c r="A53" s="796">
        <f t="shared" si="6"/>
        <v>5.2599999999999945</v>
      </c>
      <c r="B53" s="621" t="s">
        <v>1414</v>
      </c>
      <c r="C53" s="780">
        <f t="shared" ref="C53" si="13">-E53</f>
        <v>76188.84</v>
      </c>
      <c r="D53" s="780">
        <f t="shared" ref="D53" si="14">-F53</f>
        <v>76188.84</v>
      </c>
      <c r="E53" s="780">
        <v>-76188.84</v>
      </c>
      <c r="F53" s="780">
        <v>-76188.84</v>
      </c>
      <c r="G53" s="780"/>
      <c r="H53" s="780"/>
      <c r="I53" s="780"/>
      <c r="J53" s="780"/>
      <c r="K53" s="780"/>
      <c r="L53" s="780"/>
      <c r="M53" s="990"/>
      <c r="N53" s="990"/>
      <c r="O53" s="990"/>
      <c r="P53" s="780"/>
      <c r="Q53" s="990"/>
      <c r="R53" s="990"/>
      <c r="S53" s="990"/>
    </row>
    <row r="54" spans="1:19">
      <c r="A54" s="796">
        <f t="shared" si="6"/>
        <v>5.2699999999999942</v>
      </c>
      <c r="B54" s="621" t="s">
        <v>962</v>
      </c>
      <c r="C54" s="780">
        <f t="shared" ref="C54" si="15">-E54</f>
        <v>0</v>
      </c>
      <c r="D54" s="780">
        <f t="shared" ref="D54" si="16">-F54</f>
        <v>0</v>
      </c>
      <c r="E54" s="780">
        <v>0</v>
      </c>
      <c r="F54" s="780">
        <v>0</v>
      </c>
      <c r="G54" s="780"/>
      <c r="H54" s="780"/>
      <c r="I54" s="780"/>
      <c r="J54" s="780"/>
      <c r="K54" s="780"/>
      <c r="L54" s="780"/>
      <c r="M54" s="990"/>
      <c r="N54" s="990"/>
      <c r="O54" s="990"/>
      <c r="P54" s="780"/>
      <c r="Q54" s="990"/>
      <c r="R54" s="990"/>
      <c r="S54" s="990"/>
    </row>
    <row r="55" spans="1:19">
      <c r="A55" s="796">
        <f t="shared" si="6"/>
        <v>5.279999999999994</v>
      </c>
      <c r="B55" s="621" t="s">
        <v>965</v>
      </c>
      <c r="C55" s="780">
        <f t="shared" ref="C55:D58" si="17">-E55</f>
        <v>97015740.159999996</v>
      </c>
      <c r="D55" s="780">
        <f t="shared" si="17"/>
        <v>100699007.8</v>
      </c>
      <c r="E55" s="780">
        <v>-97015740.159999996</v>
      </c>
      <c r="F55" s="780">
        <v>-100699007.8</v>
      </c>
      <c r="G55" s="780"/>
      <c r="H55" s="780"/>
      <c r="I55" s="780"/>
      <c r="J55" s="780"/>
      <c r="K55" s="780"/>
      <c r="L55" s="780"/>
      <c r="M55" s="990"/>
      <c r="N55" s="990"/>
      <c r="O55" s="990"/>
      <c r="P55" s="780"/>
      <c r="Q55" s="990"/>
      <c r="R55" s="990"/>
      <c r="S55" s="990"/>
    </row>
    <row r="56" spans="1:19">
      <c r="A56" s="796">
        <f t="shared" si="6"/>
        <v>5.2899999999999938</v>
      </c>
      <c r="B56" s="621" t="s">
        <v>1415</v>
      </c>
      <c r="C56" s="780">
        <f t="shared" ref="C56" si="18">-E56</f>
        <v>0</v>
      </c>
      <c r="D56" s="780">
        <f t="shared" ref="D56" si="19">-F56</f>
        <v>8328222.21</v>
      </c>
      <c r="E56" s="780">
        <v>0</v>
      </c>
      <c r="F56" s="780">
        <v>-8328222.21</v>
      </c>
      <c r="G56" s="780"/>
      <c r="H56" s="780"/>
      <c r="I56" s="780"/>
      <c r="J56" s="780"/>
      <c r="K56" s="780"/>
      <c r="L56" s="780"/>
      <c r="M56" s="990"/>
      <c r="N56" s="990"/>
      <c r="O56" s="990"/>
      <c r="P56" s="780"/>
      <c r="Q56" s="990"/>
      <c r="R56" s="990"/>
      <c r="S56" s="990"/>
    </row>
    <row r="57" spans="1:19">
      <c r="A57" s="796">
        <f t="shared" si="6"/>
        <v>5.2999999999999936</v>
      </c>
      <c r="B57" s="621" t="s">
        <v>966</v>
      </c>
      <c r="C57" s="780">
        <f t="shared" si="17"/>
        <v>-363644533.54000002</v>
      </c>
      <c r="D57" s="780">
        <f t="shared" si="17"/>
        <v>-388356911.54000002</v>
      </c>
      <c r="E57" s="780">
        <v>363644533.54000002</v>
      </c>
      <c r="F57" s="780">
        <v>388356911.54000002</v>
      </c>
      <c r="G57" s="780"/>
      <c r="H57" s="780"/>
      <c r="I57" s="780"/>
      <c r="J57" s="780"/>
      <c r="K57" s="780"/>
      <c r="L57" s="780"/>
      <c r="M57" s="990"/>
      <c r="N57" s="990"/>
      <c r="O57" s="990"/>
      <c r="P57" s="780"/>
      <c r="Q57" s="990"/>
      <c r="R57" s="990"/>
      <c r="S57" s="990"/>
    </row>
    <row r="58" spans="1:19">
      <c r="A58" s="796">
        <f t="shared" si="6"/>
        <v>5.3099999999999934</v>
      </c>
      <c r="B58" s="621" t="s">
        <v>1097</v>
      </c>
      <c r="C58" s="780">
        <f t="shared" si="17"/>
        <v>41548923</v>
      </c>
      <c r="D58" s="780">
        <f t="shared" si="17"/>
        <v>36932377</v>
      </c>
      <c r="E58" s="780">
        <v>-41548923</v>
      </c>
      <c r="F58" s="780">
        <v>-36932377</v>
      </c>
      <c r="G58" s="780"/>
      <c r="H58" s="780"/>
      <c r="I58" s="780"/>
      <c r="J58" s="780"/>
      <c r="K58" s="780"/>
      <c r="L58" s="780"/>
      <c r="M58" s="990"/>
      <c r="N58" s="990"/>
      <c r="O58" s="990"/>
      <c r="P58" s="780"/>
      <c r="Q58" s="990"/>
      <c r="R58" s="990"/>
      <c r="S58" s="990"/>
    </row>
    <row r="59" spans="1:19">
      <c r="A59"/>
    </row>
    <row r="60" spans="1:19">
      <c r="A60" s="786"/>
      <c r="B60" s="773"/>
      <c r="C60" s="780"/>
      <c r="D60" s="780"/>
      <c r="E60" s="780"/>
      <c r="F60" s="780"/>
      <c r="G60" s="780"/>
      <c r="H60" s="780"/>
      <c r="I60" s="780"/>
      <c r="J60" s="780"/>
      <c r="K60" s="780"/>
      <c r="L60" s="780"/>
      <c r="M60" s="780"/>
      <c r="N60" s="780"/>
      <c r="O60" s="780"/>
      <c r="P60" s="780"/>
      <c r="Q60" s="780"/>
      <c r="R60" s="780"/>
      <c r="S60" s="780"/>
    </row>
    <row r="61" spans="1:19" ht="13.5" thickBot="1">
      <c r="A61" s="786">
        <v>6</v>
      </c>
      <c r="B61" t="s">
        <v>726</v>
      </c>
      <c r="C61" s="782">
        <f>SUM(C28:C60)</f>
        <v>1586808895.6799998</v>
      </c>
      <c r="D61" s="782">
        <f>SUM(D28:D60)</f>
        <v>1677271655.7999995</v>
      </c>
      <c r="E61" s="782">
        <f>SUM(E28:E60)</f>
        <v>202154880.24377745</v>
      </c>
      <c r="F61" s="782">
        <f>SUM(F28:F60)</f>
        <v>242321115.69000006</v>
      </c>
      <c r="G61" s="782">
        <f>SUM(G28:G60)</f>
        <v>1854278272</v>
      </c>
      <c r="H61" s="780"/>
      <c r="I61" s="782">
        <f>SUM(I28:I60)</f>
        <v>606630160.42499983</v>
      </c>
      <c r="J61" s="782">
        <f>SUM(J28:J60)</f>
        <v>627300649.61688864</v>
      </c>
      <c r="K61" s="782">
        <f>SUM(K28:K60)</f>
        <v>620347463.6650002</v>
      </c>
      <c r="L61" s="780"/>
      <c r="M61" s="782">
        <f>SUM(M28:M60)</f>
        <v>580542357.09000003</v>
      </c>
      <c r="N61" s="782">
        <f>SUM(N28:N60)</f>
        <v>603372656.28377736</v>
      </c>
      <c r="O61" s="782">
        <f>SUM(O28:O60)</f>
        <v>605048762.55000007</v>
      </c>
      <c r="P61" s="780"/>
      <c r="Q61" s="782">
        <f>SUM(Q28:Q60)</f>
        <v>632717963.75999987</v>
      </c>
      <c r="R61" s="782">
        <f>SUM(R28:R60)</f>
        <v>651228642.95000005</v>
      </c>
      <c r="S61" s="782">
        <f>SUM(S28:S60)</f>
        <v>635646164.77999997</v>
      </c>
    </row>
    <row r="62" spans="1:19" ht="13.5" thickTop="1">
      <c r="A62" s="786">
        <f>A61+1</f>
        <v>7</v>
      </c>
      <c r="B62" s="18" t="s">
        <v>739</v>
      </c>
      <c r="C62" s="783">
        <f>C32</f>
        <v>36366780.229999997</v>
      </c>
      <c r="D62" s="783">
        <f>D32</f>
        <v>38981288.630000003</v>
      </c>
      <c r="E62" s="783">
        <f t="shared" ref="E62:G62" si="20">E32</f>
        <v>0</v>
      </c>
      <c r="F62" s="783">
        <f t="shared" si="20"/>
        <v>0</v>
      </c>
      <c r="G62" s="783">
        <f t="shared" si="20"/>
        <v>37674034</v>
      </c>
      <c r="H62" s="780"/>
      <c r="I62" s="783">
        <f>I32</f>
        <v>37499233.844999999</v>
      </c>
      <c r="J62" s="783">
        <f t="shared" ref="J62:K62" si="21">J32</f>
        <v>373.6</v>
      </c>
      <c r="K62" s="783">
        <f t="shared" si="21"/>
        <v>174426.98499999999</v>
      </c>
      <c r="L62" s="783"/>
      <c r="M62" s="783">
        <f>M32</f>
        <v>36187442.490000002</v>
      </c>
      <c r="N62" s="783">
        <f t="shared" ref="N62:O62" si="22">N32</f>
        <v>392.08</v>
      </c>
      <c r="O62" s="783">
        <f t="shared" si="22"/>
        <v>178945.66</v>
      </c>
      <c r="P62" s="780"/>
      <c r="Q62" s="783">
        <f>Q32</f>
        <v>38811025.200000003</v>
      </c>
      <c r="R62" s="783">
        <f t="shared" ref="R62:S62" si="23">R32</f>
        <v>355.12</v>
      </c>
      <c r="S62" s="783">
        <f t="shared" si="23"/>
        <v>169908.31</v>
      </c>
    </row>
    <row r="63" spans="1:19">
      <c r="A63" s="786"/>
      <c r="C63" s="780"/>
      <c r="D63" s="780"/>
      <c r="E63" s="780"/>
      <c r="F63" s="780"/>
      <c r="G63" s="780"/>
      <c r="H63" s="780"/>
      <c r="I63" s="780"/>
      <c r="J63" s="780"/>
      <c r="K63" s="780"/>
      <c r="L63" s="780"/>
      <c r="M63" s="780"/>
      <c r="N63" s="780"/>
      <c r="O63" s="780"/>
      <c r="P63" s="780"/>
      <c r="Q63" s="780"/>
      <c r="R63" s="780"/>
      <c r="S63" s="780"/>
    </row>
    <row r="64" spans="1:19">
      <c r="A64" s="786">
        <v>8</v>
      </c>
      <c r="B64" t="s">
        <v>727</v>
      </c>
      <c r="C64" s="780" t="s">
        <v>114</v>
      </c>
      <c r="D64" s="780"/>
      <c r="E64" s="780"/>
      <c r="F64" s="780"/>
      <c r="G64" s="780"/>
      <c r="H64" s="780"/>
      <c r="I64" s="780"/>
      <c r="J64" s="780"/>
      <c r="K64" s="780"/>
      <c r="L64" s="780"/>
      <c r="M64" s="780"/>
      <c r="N64" s="780"/>
      <c r="O64" s="780"/>
      <c r="P64" s="780"/>
      <c r="Q64" s="780"/>
      <c r="R64" s="780"/>
      <c r="S64" s="780"/>
    </row>
    <row r="65" spans="1:19">
      <c r="A65" s="786"/>
      <c r="B65" s="773"/>
      <c r="C65" s="780"/>
      <c r="D65" s="780"/>
      <c r="E65" s="780"/>
      <c r="F65" s="780"/>
      <c r="G65" s="780"/>
      <c r="H65" s="780"/>
      <c r="I65" s="780"/>
      <c r="J65" s="780"/>
      <c r="K65" s="780"/>
      <c r="L65" s="780"/>
      <c r="M65" s="780"/>
      <c r="N65" s="780"/>
      <c r="O65" s="780"/>
      <c r="P65" s="780"/>
      <c r="Q65" s="780"/>
      <c r="R65" s="780"/>
      <c r="S65" s="780"/>
    </row>
    <row r="66" spans="1:19">
      <c r="A66" s="796">
        <f>9+0.01</f>
        <v>9.01</v>
      </c>
      <c r="B66" s="621" t="s">
        <v>1328</v>
      </c>
      <c r="C66" s="780">
        <f t="shared" ref="C66:C131" si="24">SUM(M66:O66)</f>
        <v>-747680.57</v>
      </c>
      <c r="D66" s="780">
        <f t="shared" ref="D66:D131" si="25">SUM(Q66:S66)</f>
        <v>-664604.56999999995</v>
      </c>
      <c r="E66" s="780"/>
      <c r="F66" s="780"/>
      <c r="G66" s="780">
        <f t="shared" ref="G66:G131" si="26">ROUND(SUM(C66:F66)/2,0)</f>
        <v>-706143</v>
      </c>
      <c r="H66" s="780"/>
      <c r="I66" s="780">
        <f t="shared" ref="I66:I131" si="27">(M66+Q66)/2</f>
        <v>-286284.03999999998</v>
      </c>
      <c r="J66" s="780">
        <f t="shared" ref="J66:J131" si="28">(N66+R66)/2</f>
        <v>-230927.32</v>
      </c>
      <c r="K66" s="780">
        <f t="shared" ref="K66:K131" si="29">(O66+S66)/2</f>
        <v>-188931.21</v>
      </c>
      <c r="L66" s="780"/>
      <c r="M66" s="621">
        <v>-303124.53999999998</v>
      </c>
      <c r="N66" s="621">
        <v>-244511.32</v>
      </c>
      <c r="O66" s="621">
        <v>-200044.71</v>
      </c>
      <c r="P66" s="780"/>
      <c r="Q66" s="621">
        <v>-269443.53999999998</v>
      </c>
      <c r="R66" s="621">
        <v>-217343.32</v>
      </c>
      <c r="S66" s="621">
        <v>-177817.71</v>
      </c>
    </row>
    <row r="67" spans="1:19">
      <c r="A67" s="796">
        <f t="shared" ref="A67:A182" si="30">A66+0.01</f>
        <v>9.02</v>
      </c>
      <c r="B67" s="621" t="s">
        <v>1329</v>
      </c>
      <c r="C67" s="780">
        <f t="shared" si="24"/>
        <v>38810565</v>
      </c>
      <c r="D67" s="780">
        <f t="shared" si="25"/>
        <v>34498280</v>
      </c>
      <c r="E67" s="780"/>
      <c r="F67" s="780"/>
      <c r="G67" s="780">
        <f t="shared" si="26"/>
        <v>36654423</v>
      </c>
      <c r="H67" s="780"/>
      <c r="I67" s="780">
        <f t="shared" si="27"/>
        <v>601038</v>
      </c>
      <c r="J67" s="780">
        <f t="shared" si="28"/>
        <v>32489446</v>
      </c>
      <c r="K67" s="780">
        <f t="shared" si="29"/>
        <v>3563938.5</v>
      </c>
      <c r="L67" s="780"/>
      <c r="M67" s="621">
        <v>636393</v>
      </c>
      <c r="N67" s="621">
        <v>34400590</v>
      </c>
      <c r="O67" s="621">
        <v>3773582</v>
      </c>
      <c r="P67" s="780"/>
      <c r="Q67" s="621">
        <v>565683</v>
      </c>
      <c r="R67" s="621">
        <v>30578302</v>
      </c>
      <c r="S67" s="621">
        <v>3354295</v>
      </c>
    </row>
    <row r="68" spans="1:19">
      <c r="A68" s="796">
        <f t="shared" si="30"/>
        <v>9.0299999999999994</v>
      </c>
      <c r="B68" s="621" t="s">
        <v>1330</v>
      </c>
      <c r="C68" s="780">
        <f t="shared" si="24"/>
        <v>-3478333.11</v>
      </c>
      <c r="D68" s="780">
        <f t="shared" si="25"/>
        <v>-3091852.11</v>
      </c>
      <c r="E68" s="780"/>
      <c r="F68" s="780"/>
      <c r="G68" s="780">
        <f t="shared" si="26"/>
        <v>-3285093</v>
      </c>
      <c r="H68" s="780"/>
      <c r="I68" s="780">
        <f t="shared" si="27"/>
        <v>-1528385.24</v>
      </c>
      <c r="J68" s="780">
        <f t="shared" si="28"/>
        <v>-496293.49</v>
      </c>
      <c r="K68" s="780">
        <f t="shared" si="29"/>
        <v>-1260413.8799999999</v>
      </c>
      <c r="L68" s="780"/>
      <c r="M68" s="621">
        <v>-1618290.24</v>
      </c>
      <c r="N68" s="621">
        <v>-525486.99</v>
      </c>
      <c r="O68" s="621">
        <v>-1334555.8799999999</v>
      </c>
      <c r="P68" s="780"/>
      <c r="Q68" s="621">
        <v>-1438480.24</v>
      </c>
      <c r="R68" s="621">
        <v>-467099.99</v>
      </c>
      <c r="S68" s="621">
        <v>-1186271.8799999999</v>
      </c>
    </row>
    <row r="69" spans="1:19">
      <c r="A69" s="796">
        <f t="shared" si="30"/>
        <v>9.0399999999999991</v>
      </c>
      <c r="B69" s="621" t="s">
        <v>1331</v>
      </c>
      <c r="C69" s="780">
        <f t="shared" si="24"/>
        <v>-17926992.300000004</v>
      </c>
      <c r="D69" s="780">
        <f t="shared" si="25"/>
        <v>-5443974.2999999998</v>
      </c>
      <c r="E69" s="780"/>
      <c r="F69" s="780"/>
      <c r="G69" s="780">
        <f t="shared" si="26"/>
        <v>-11685483</v>
      </c>
      <c r="H69" s="780"/>
      <c r="I69" s="780">
        <f t="shared" si="27"/>
        <v>-181903.41999999998</v>
      </c>
      <c r="J69" s="780">
        <f t="shared" si="28"/>
        <v>-11730301.210000001</v>
      </c>
      <c r="K69" s="780">
        <f t="shared" si="29"/>
        <v>226721.32999999996</v>
      </c>
      <c r="L69" s="780"/>
      <c r="M69" s="621">
        <v>-399094.42</v>
      </c>
      <c r="N69" s="621">
        <v>-17385301.710000001</v>
      </c>
      <c r="O69" s="621">
        <v>-142596.17000000001</v>
      </c>
      <c r="P69" s="780"/>
      <c r="Q69" s="621">
        <v>35287.58</v>
      </c>
      <c r="R69" s="621">
        <v>-6075300.71</v>
      </c>
      <c r="S69" s="621">
        <v>596038.82999999996</v>
      </c>
    </row>
    <row r="70" spans="1:19">
      <c r="A70" s="796">
        <f t="shared" si="30"/>
        <v>9.0499999999999989</v>
      </c>
      <c r="B70" s="621" t="s">
        <v>1332</v>
      </c>
      <c r="C70" s="780">
        <f t="shared" si="24"/>
        <v>10180.08</v>
      </c>
      <c r="D70" s="780">
        <f t="shared" si="25"/>
        <v>6312.76</v>
      </c>
      <c r="E70" s="780"/>
      <c r="F70" s="780"/>
      <c r="G70" s="780">
        <f t="shared" si="26"/>
        <v>8246</v>
      </c>
      <c r="H70" s="780"/>
      <c r="I70" s="780">
        <f t="shared" si="27"/>
        <v>8246.42</v>
      </c>
      <c r="J70" s="780">
        <f t="shared" si="28"/>
        <v>0</v>
      </c>
      <c r="K70" s="780">
        <f t="shared" si="29"/>
        <v>0</v>
      </c>
      <c r="L70" s="780"/>
      <c r="M70" s="621">
        <v>10180.08</v>
      </c>
      <c r="N70" s="621"/>
      <c r="O70" s="621"/>
      <c r="P70" s="780"/>
      <c r="Q70" s="621">
        <v>6312.76</v>
      </c>
      <c r="R70" s="621"/>
      <c r="S70" s="621"/>
    </row>
    <row r="71" spans="1:19">
      <c r="A71" s="796">
        <f t="shared" si="30"/>
        <v>9.0599999999999987</v>
      </c>
      <c r="B71" s="621" t="s">
        <v>1333</v>
      </c>
      <c r="C71" s="780">
        <f t="shared" si="24"/>
        <v>1316.89</v>
      </c>
      <c r="D71" s="780">
        <f t="shared" si="25"/>
        <v>1248.8600000000001</v>
      </c>
      <c r="E71" s="780"/>
      <c r="F71" s="780"/>
      <c r="G71" s="780">
        <f t="shared" si="26"/>
        <v>1283</v>
      </c>
      <c r="H71" s="780"/>
      <c r="I71" s="780">
        <f t="shared" si="27"/>
        <v>1282.875</v>
      </c>
      <c r="J71" s="780">
        <f t="shared" si="28"/>
        <v>0</v>
      </c>
      <c r="K71" s="780">
        <f t="shared" si="29"/>
        <v>0</v>
      </c>
      <c r="L71" s="780"/>
      <c r="M71" s="621">
        <v>1316.89</v>
      </c>
      <c r="N71" s="621"/>
      <c r="O71" s="621"/>
      <c r="P71" s="780"/>
      <c r="Q71" s="621">
        <v>1248.8600000000001</v>
      </c>
      <c r="R71" s="621"/>
      <c r="S71" s="621"/>
    </row>
    <row r="72" spans="1:19">
      <c r="A72" s="796">
        <f t="shared" si="30"/>
        <v>9.0699999999999985</v>
      </c>
      <c r="B72" s="621" t="s">
        <v>1334</v>
      </c>
      <c r="C72" s="780">
        <f t="shared" si="24"/>
        <v>51095.24</v>
      </c>
      <c r="D72" s="780">
        <f t="shared" si="25"/>
        <v>0</v>
      </c>
      <c r="E72" s="780"/>
      <c r="F72" s="780"/>
      <c r="G72" s="780">
        <f t="shared" si="26"/>
        <v>25548</v>
      </c>
      <c r="H72" s="780"/>
      <c r="I72" s="780">
        <f t="shared" si="27"/>
        <v>25547.62</v>
      </c>
      <c r="J72" s="780">
        <f t="shared" si="28"/>
        <v>0</v>
      </c>
      <c r="K72" s="780">
        <f t="shared" si="29"/>
        <v>0</v>
      </c>
      <c r="L72" s="780"/>
      <c r="M72" s="621">
        <v>51095.24</v>
      </c>
      <c r="N72" s="621"/>
      <c r="O72" s="621"/>
      <c r="P72" s="780"/>
      <c r="Q72" s="621">
        <v>0</v>
      </c>
      <c r="R72" s="621"/>
      <c r="S72" s="621"/>
    </row>
    <row r="73" spans="1:19">
      <c r="A73" s="796">
        <f t="shared" si="30"/>
        <v>9.0799999999999983</v>
      </c>
      <c r="B73" s="621" t="s">
        <v>1335</v>
      </c>
      <c r="C73" s="780">
        <f t="shared" si="24"/>
        <v>-4539143</v>
      </c>
      <c r="D73" s="780">
        <f t="shared" si="25"/>
        <v>2533547.6</v>
      </c>
      <c r="E73" s="780"/>
      <c r="F73" s="780"/>
      <c r="G73" s="780">
        <f t="shared" si="26"/>
        <v>-1002798</v>
      </c>
      <c r="H73" s="780"/>
      <c r="I73" s="780">
        <f t="shared" si="27"/>
        <v>-1002797.7</v>
      </c>
      <c r="J73" s="780">
        <f t="shared" si="28"/>
        <v>0</v>
      </c>
      <c r="K73" s="780">
        <f t="shared" si="29"/>
        <v>0</v>
      </c>
      <c r="L73" s="780"/>
      <c r="M73" s="621">
        <v>-4539143</v>
      </c>
      <c r="N73" s="621"/>
      <c r="O73" s="621"/>
      <c r="P73" s="780"/>
      <c r="Q73" s="621">
        <v>2533547.6</v>
      </c>
      <c r="R73" s="621"/>
      <c r="S73" s="621"/>
    </row>
    <row r="74" spans="1:19">
      <c r="A74" s="796">
        <f t="shared" si="30"/>
        <v>9.0899999999999981</v>
      </c>
      <c r="B74" s="621" t="s">
        <v>1336</v>
      </c>
      <c r="C74" s="780">
        <f t="shared" si="24"/>
        <v>31072658.539999999</v>
      </c>
      <c r="D74" s="780">
        <f t="shared" si="25"/>
        <v>14889580.539999999</v>
      </c>
      <c r="E74" s="780"/>
      <c r="F74" s="780"/>
      <c r="G74" s="780">
        <f t="shared" si="26"/>
        <v>22981120</v>
      </c>
      <c r="H74" s="780"/>
      <c r="I74" s="780">
        <f t="shared" si="27"/>
        <v>22981119.539999999</v>
      </c>
      <c r="J74" s="780">
        <f t="shared" si="28"/>
        <v>0</v>
      </c>
      <c r="K74" s="780">
        <f t="shared" si="29"/>
        <v>0</v>
      </c>
      <c r="L74" s="780"/>
      <c r="M74" s="621">
        <v>31072658.539999999</v>
      </c>
      <c r="N74" s="621"/>
      <c r="O74" s="621"/>
      <c r="P74" s="780"/>
      <c r="Q74" s="621">
        <v>14889580.539999999</v>
      </c>
      <c r="R74" s="621"/>
      <c r="S74" s="621"/>
    </row>
    <row r="75" spans="1:19">
      <c r="A75" s="796">
        <f t="shared" si="30"/>
        <v>9.0999999999999979</v>
      </c>
      <c r="B75" s="621" t="s">
        <v>1337</v>
      </c>
      <c r="C75" s="780">
        <f t="shared" si="24"/>
        <v>20993.7</v>
      </c>
      <c r="D75" s="780">
        <f t="shared" si="25"/>
        <v>86481.25</v>
      </c>
      <c r="E75" s="780"/>
      <c r="F75" s="780"/>
      <c r="G75" s="780">
        <f t="shared" si="26"/>
        <v>53737</v>
      </c>
      <c r="H75" s="780"/>
      <c r="I75" s="780">
        <f t="shared" si="27"/>
        <v>53737.474999999999</v>
      </c>
      <c r="J75" s="780">
        <f t="shared" si="28"/>
        <v>0</v>
      </c>
      <c r="K75" s="780">
        <f t="shared" si="29"/>
        <v>0</v>
      </c>
      <c r="L75" s="780"/>
      <c r="M75" s="621">
        <v>20993.7</v>
      </c>
      <c r="N75" s="621"/>
      <c r="O75" s="621"/>
      <c r="P75" s="780"/>
      <c r="Q75" s="621">
        <v>86481.25</v>
      </c>
      <c r="R75" s="621"/>
      <c r="S75" s="621"/>
    </row>
    <row r="76" spans="1:19">
      <c r="A76" s="796">
        <f t="shared" si="30"/>
        <v>9.1099999999999977</v>
      </c>
      <c r="B76" s="621" t="s">
        <v>1264</v>
      </c>
      <c r="C76" s="780">
        <f t="shared" si="24"/>
        <v>-4939101.91</v>
      </c>
      <c r="D76" s="780">
        <f t="shared" si="25"/>
        <v>581672.9</v>
      </c>
      <c r="E76" s="780"/>
      <c r="F76" s="780"/>
      <c r="G76" s="780">
        <f t="shared" si="26"/>
        <v>-2178715</v>
      </c>
      <c r="H76" s="780"/>
      <c r="I76" s="780">
        <f t="shared" si="27"/>
        <v>-2178714.5049999999</v>
      </c>
      <c r="J76" s="780">
        <f t="shared" si="28"/>
        <v>0</v>
      </c>
      <c r="K76" s="780">
        <f t="shared" si="29"/>
        <v>0</v>
      </c>
      <c r="L76" s="780"/>
      <c r="M76" s="621">
        <v>-4939101.91</v>
      </c>
      <c r="N76" s="621"/>
      <c r="O76" s="621"/>
      <c r="P76" s="780"/>
      <c r="Q76" s="621">
        <v>581672.9</v>
      </c>
      <c r="R76" s="621"/>
      <c r="S76" s="621"/>
    </row>
    <row r="77" spans="1:19">
      <c r="A77" s="796">
        <f t="shared" si="30"/>
        <v>9.1199999999999974</v>
      </c>
      <c r="B77" s="621" t="s">
        <v>1338</v>
      </c>
      <c r="C77" s="780">
        <f t="shared" si="24"/>
        <v>26074573.060000002</v>
      </c>
      <c r="D77" s="780">
        <f t="shared" si="25"/>
        <v>30061617.549999997</v>
      </c>
      <c r="E77" s="780"/>
      <c r="F77" s="780"/>
      <c r="G77" s="780">
        <f t="shared" si="26"/>
        <v>28068095</v>
      </c>
      <c r="H77" s="780"/>
      <c r="I77" s="780">
        <f t="shared" si="27"/>
        <v>12974750.865</v>
      </c>
      <c r="J77" s="780">
        <f t="shared" si="28"/>
        <v>1090077.27</v>
      </c>
      <c r="K77" s="780">
        <f t="shared" si="29"/>
        <v>14003267.17</v>
      </c>
      <c r="L77" s="780"/>
      <c r="M77" s="621">
        <v>12328402.470000001</v>
      </c>
      <c r="N77" s="621">
        <v>976917.93</v>
      </c>
      <c r="O77" s="621">
        <v>12769252.66</v>
      </c>
      <c r="P77" s="780"/>
      <c r="Q77" s="621">
        <v>13621099.26</v>
      </c>
      <c r="R77" s="621">
        <v>1203236.6100000001</v>
      </c>
      <c r="S77" s="621">
        <v>15237281.68</v>
      </c>
    </row>
    <row r="78" spans="1:19">
      <c r="A78" s="796">
        <f t="shared" si="30"/>
        <v>9.1299999999999972</v>
      </c>
      <c r="B78" s="621" t="s">
        <v>1339</v>
      </c>
      <c r="C78" s="780">
        <f t="shared" si="24"/>
        <v>-23095138.289999999</v>
      </c>
      <c r="D78" s="780">
        <f t="shared" si="25"/>
        <v>-21838231.170000002</v>
      </c>
      <c r="E78" s="780"/>
      <c r="F78" s="780"/>
      <c r="G78" s="780">
        <f t="shared" si="26"/>
        <v>-22466685</v>
      </c>
      <c r="H78" s="780"/>
      <c r="I78" s="780">
        <f t="shared" si="27"/>
        <v>-5957414.085</v>
      </c>
      <c r="J78" s="780">
        <f t="shared" si="28"/>
        <v>-2527581.5249999999</v>
      </c>
      <c r="K78" s="780">
        <f t="shared" si="29"/>
        <v>-13981689.120000001</v>
      </c>
      <c r="L78" s="780"/>
      <c r="M78" s="621">
        <v>-6112597.0499999998</v>
      </c>
      <c r="N78" s="621">
        <v>-2523680.25</v>
      </c>
      <c r="O78" s="621">
        <v>-14458860.99</v>
      </c>
      <c r="P78" s="780"/>
      <c r="Q78" s="621">
        <v>-5802231.1200000001</v>
      </c>
      <c r="R78" s="621">
        <v>-2531482.7999999998</v>
      </c>
      <c r="S78" s="621">
        <v>-13504517.25</v>
      </c>
    </row>
    <row r="79" spans="1:19">
      <c r="A79" s="796">
        <f t="shared" si="30"/>
        <v>9.139999999999997</v>
      </c>
      <c r="B79" s="621" t="s">
        <v>1340</v>
      </c>
      <c r="C79" s="780">
        <f t="shared" si="24"/>
        <v>-0.28000000000000003</v>
      </c>
      <c r="D79" s="780">
        <f t="shared" si="25"/>
        <v>-0.28000000000000003</v>
      </c>
      <c r="E79" s="780"/>
      <c r="F79" s="780"/>
      <c r="G79" s="780">
        <f t="shared" si="26"/>
        <v>0</v>
      </c>
      <c r="H79" s="780"/>
      <c r="I79" s="780">
        <f t="shared" si="27"/>
        <v>0</v>
      </c>
      <c r="J79" s="780">
        <f t="shared" si="28"/>
        <v>-0.28000000000000003</v>
      </c>
      <c r="K79" s="780">
        <f t="shared" si="29"/>
        <v>0</v>
      </c>
      <c r="L79" s="780"/>
      <c r="M79" s="621"/>
      <c r="N79" s="621">
        <v>-0.28000000000000003</v>
      </c>
      <c r="O79" s="621"/>
      <c r="P79" s="780"/>
      <c r="Q79" s="621"/>
      <c r="R79" s="621">
        <v>-0.28000000000000003</v>
      </c>
      <c r="S79" s="621"/>
    </row>
    <row r="80" spans="1:19">
      <c r="A80" s="796">
        <f t="shared" si="30"/>
        <v>9.1499999999999968</v>
      </c>
      <c r="B80" s="621" t="s">
        <v>1341</v>
      </c>
      <c r="C80" s="780">
        <f t="shared" si="24"/>
        <v>-0.42</v>
      </c>
      <c r="D80" s="780">
        <f t="shared" si="25"/>
        <v>-0.42</v>
      </c>
      <c r="E80" s="780"/>
      <c r="F80" s="780"/>
      <c r="G80" s="780">
        <f t="shared" si="26"/>
        <v>0</v>
      </c>
      <c r="H80" s="780"/>
      <c r="I80" s="780">
        <f t="shared" si="27"/>
        <v>-0.42</v>
      </c>
      <c r="J80" s="780">
        <f t="shared" si="28"/>
        <v>0</v>
      </c>
      <c r="K80" s="780">
        <f t="shared" si="29"/>
        <v>0</v>
      </c>
      <c r="L80" s="780"/>
      <c r="M80" s="621">
        <v>-0.42</v>
      </c>
      <c r="N80" s="621"/>
      <c r="O80" s="621"/>
      <c r="P80" s="780"/>
      <c r="Q80" s="621">
        <v>-0.42</v>
      </c>
      <c r="R80" s="621"/>
      <c r="S80" s="621"/>
    </row>
    <row r="81" spans="1:19">
      <c r="A81" s="796">
        <f t="shared" si="30"/>
        <v>9.1599999999999966</v>
      </c>
      <c r="B81" s="621" t="s">
        <v>1342</v>
      </c>
      <c r="C81" s="780">
        <f t="shared" si="24"/>
        <v>-0.17</v>
      </c>
      <c r="D81" s="780">
        <f t="shared" si="25"/>
        <v>-0.17</v>
      </c>
      <c r="E81" s="780"/>
      <c r="F81" s="780"/>
      <c r="G81" s="780">
        <f t="shared" si="26"/>
        <v>0</v>
      </c>
      <c r="H81" s="780"/>
      <c r="I81" s="780">
        <f t="shared" si="27"/>
        <v>0</v>
      </c>
      <c r="J81" s="780">
        <f t="shared" si="28"/>
        <v>0</v>
      </c>
      <c r="K81" s="780">
        <f t="shared" si="29"/>
        <v>-0.17</v>
      </c>
      <c r="L81" s="780"/>
      <c r="M81" s="621"/>
      <c r="N81" s="621"/>
      <c r="O81" s="621">
        <v>-0.17</v>
      </c>
      <c r="P81" s="780"/>
      <c r="Q81" s="621"/>
      <c r="R81" s="621"/>
      <c r="S81" s="621">
        <v>-0.17</v>
      </c>
    </row>
    <row r="82" spans="1:19">
      <c r="A82" s="796">
        <f t="shared" si="30"/>
        <v>9.1699999999999964</v>
      </c>
      <c r="B82" s="621" t="s">
        <v>1343</v>
      </c>
      <c r="C82" s="780">
        <f t="shared" si="24"/>
        <v>0.24</v>
      </c>
      <c r="D82" s="780">
        <f t="shared" si="25"/>
        <v>0.24</v>
      </c>
      <c r="E82" s="780"/>
      <c r="F82" s="780"/>
      <c r="G82" s="780">
        <f t="shared" si="26"/>
        <v>0</v>
      </c>
      <c r="H82" s="780"/>
      <c r="I82" s="780">
        <f t="shared" si="27"/>
        <v>0</v>
      </c>
      <c r="J82" s="780">
        <f t="shared" si="28"/>
        <v>0</v>
      </c>
      <c r="K82" s="780">
        <f t="shared" si="29"/>
        <v>0.24</v>
      </c>
      <c r="L82" s="780"/>
      <c r="M82" s="621"/>
      <c r="N82" s="621">
        <v>0</v>
      </c>
      <c r="O82" s="621">
        <v>0.24</v>
      </c>
      <c r="P82" s="780"/>
      <c r="Q82" s="621"/>
      <c r="R82" s="621"/>
      <c r="S82" s="621">
        <v>0.24</v>
      </c>
    </row>
    <row r="83" spans="1:19">
      <c r="A83" s="796">
        <f t="shared" si="30"/>
        <v>9.1799999999999962</v>
      </c>
      <c r="B83" s="621" t="s">
        <v>1344</v>
      </c>
      <c r="C83" s="780">
        <f t="shared" si="24"/>
        <v>70422.87</v>
      </c>
      <c r="D83" s="780">
        <f t="shared" si="25"/>
        <v>0</v>
      </c>
      <c r="E83" s="780"/>
      <c r="F83" s="780"/>
      <c r="G83" s="780">
        <f t="shared" si="26"/>
        <v>35211</v>
      </c>
      <c r="H83" s="780"/>
      <c r="I83" s="780">
        <f t="shared" si="27"/>
        <v>-32031.405000000002</v>
      </c>
      <c r="J83" s="780">
        <f t="shared" si="28"/>
        <v>67242.84</v>
      </c>
      <c r="K83" s="780">
        <f t="shared" si="29"/>
        <v>0</v>
      </c>
      <c r="L83" s="780"/>
      <c r="M83" s="621">
        <v>-64062.810000000005</v>
      </c>
      <c r="N83" s="621">
        <v>134485.68</v>
      </c>
      <c r="O83" s="621"/>
      <c r="P83" s="780"/>
      <c r="Q83" s="621"/>
      <c r="R83" s="621"/>
      <c r="S83" s="621"/>
    </row>
    <row r="84" spans="1:19">
      <c r="A84" s="796">
        <f t="shared" si="30"/>
        <v>9.1899999999999959</v>
      </c>
      <c r="B84" s="621" t="s">
        <v>1345</v>
      </c>
      <c r="C84" s="780">
        <f t="shared" si="24"/>
        <v>-793.14</v>
      </c>
      <c r="D84" s="780">
        <f t="shared" si="25"/>
        <v>0</v>
      </c>
      <c r="E84" s="780"/>
      <c r="F84" s="780"/>
      <c r="G84" s="780">
        <f t="shared" si="26"/>
        <v>-397</v>
      </c>
      <c r="H84" s="780"/>
      <c r="I84" s="780">
        <f t="shared" si="27"/>
        <v>0.11</v>
      </c>
      <c r="J84" s="780">
        <f t="shared" si="28"/>
        <v>-396.68</v>
      </c>
      <c r="K84" s="780">
        <f t="shared" si="29"/>
        <v>0</v>
      </c>
      <c r="L84" s="780"/>
      <c r="M84" s="621">
        <v>0.22</v>
      </c>
      <c r="N84" s="621">
        <v>-793.36</v>
      </c>
      <c r="O84" s="621"/>
      <c r="P84" s="780"/>
      <c r="Q84" s="621"/>
      <c r="R84" s="621"/>
      <c r="S84" s="621"/>
    </row>
    <row r="85" spans="1:19">
      <c r="A85" s="796">
        <f t="shared" si="30"/>
        <v>9.1999999999999957</v>
      </c>
      <c r="B85" s="621" t="s">
        <v>1282</v>
      </c>
      <c r="C85" s="780">
        <f t="shared" si="24"/>
        <v>-7.0000000000000007E-2</v>
      </c>
      <c r="D85" s="780">
        <f t="shared" si="25"/>
        <v>0</v>
      </c>
      <c r="E85" s="780"/>
      <c r="F85" s="780"/>
      <c r="G85" s="780">
        <f t="shared" si="26"/>
        <v>0</v>
      </c>
      <c r="H85" s="780"/>
      <c r="I85" s="780">
        <f t="shared" si="27"/>
        <v>-3.5000000000000003E-2</v>
      </c>
      <c r="J85" s="780">
        <f t="shared" si="28"/>
        <v>0</v>
      </c>
      <c r="K85" s="780">
        <f t="shared" si="29"/>
        <v>0</v>
      </c>
      <c r="L85" s="780"/>
      <c r="M85" s="621">
        <v>-7.0000000000000007E-2</v>
      </c>
      <c r="N85" s="621"/>
      <c r="O85" s="621"/>
      <c r="P85" s="780"/>
      <c r="Q85" s="621"/>
      <c r="R85" s="621"/>
      <c r="S85" s="621"/>
    </row>
    <row r="86" spans="1:19">
      <c r="A86" s="796">
        <f t="shared" si="30"/>
        <v>9.2099999999999955</v>
      </c>
      <c r="B86" s="621" t="s">
        <v>1346</v>
      </c>
      <c r="C86" s="780">
        <f t="shared" si="24"/>
        <v>438267.95</v>
      </c>
      <c r="D86" s="780">
        <f t="shared" si="25"/>
        <v>0</v>
      </c>
      <c r="E86" s="780"/>
      <c r="F86" s="780"/>
      <c r="G86" s="780">
        <f t="shared" si="26"/>
        <v>219134</v>
      </c>
      <c r="H86" s="780"/>
      <c r="I86" s="780">
        <f t="shared" si="27"/>
        <v>219133.97500000001</v>
      </c>
      <c r="J86" s="780">
        <f t="shared" si="28"/>
        <v>0</v>
      </c>
      <c r="K86" s="780">
        <f t="shared" si="29"/>
        <v>0</v>
      </c>
      <c r="L86" s="780"/>
      <c r="M86" s="621">
        <v>438267.95</v>
      </c>
      <c r="N86" s="621"/>
      <c r="O86" s="621"/>
      <c r="P86" s="780"/>
      <c r="Q86" s="621"/>
      <c r="R86" s="621"/>
      <c r="S86" s="621"/>
    </row>
    <row r="87" spans="1:19">
      <c r="A87" s="796">
        <f t="shared" si="30"/>
        <v>9.2199999999999953</v>
      </c>
      <c r="B87" s="621" t="s">
        <v>1347</v>
      </c>
      <c r="C87" s="780">
        <f t="shared" si="24"/>
        <v>30272318.620000001</v>
      </c>
      <c r="D87" s="780">
        <f t="shared" si="25"/>
        <v>30778281.099999998</v>
      </c>
      <c r="E87" s="780"/>
      <c r="F87" s="780"/>
      <c r="G87" s="780">
        <f t="shared" si="26"/>
        <v>30525300</v>
      </c>
      <c r="H87" s="780"/>
      <c r="I87" s="780">
        <f t="shared" si="27"/>
        <v>111654.255</v>
      </c>
      <c r="J87" s="780">
        <f t="shared" si="28"/>
        <v>437306.79500000004</v>
      </c>
      <c r="K87" s="780">
        <f t="shared" si="29"/>
        <v>29976338.810000002</v>
      </c>
      <c r="L87" s="780"/>
      <c r="M87" s="621">
        <v>94201.8</v>
      </c>
      <c r="N87" s="621">
        <v>449066.22000000003</v>
      </c>
      <c r="O87" s="621">
        <v>29729050.600000001</v>
      </c>
      <c r="P87" s="780"/>
      <c r="Q87" s="621">
        <v>129106.71</v>
      </c>
      <c r="R87" s="621">
        <v>425547.37</v>
      </c>
      <c r="S87" s="621">
        <v>30223627.02</v>
      </c>
    </row>
    <row r="88" spans="1:19">
      <c r="A88" s="796">
        <f t="shared" si="30"/>
        <v>9.2299999999999951</v>
      </c>
      <c r="B88" s="621" t="s">
        <v>1348</v>
      </c>
      <c r="C88" s="780">
        <f t="shared" si="24"/>
        <v>136280.32000000001</v>
      </c>
      <c r="D88" s="780">
        <f t="shared" si="25"/>
        <v>132386.4</v>
      </c>
      <c r="E88" s="780"/>
      <c r="F88" s="780"/>
      <c r="G88" s="780">
        <f t="shared" si="26"/>
        <v>134333</v>
      </c>
      <c r="H88" s="780"/>
      <c r="I88" s="780">
        <f t="shared" si="27"/>
        <v>32734.705000000002</v>
      </c>
      <c r="J88" s="780">
        <f t="shared" si="28"/>
        <v>26172.07</v>
      </c>
      <c r="K88" s="780">
        <f t="shared" si="29"/>
        <v>75426.585000000006</v>
      </c>
      <c r="L88" s="780"/>
      <c r="M88" s="621">
        <v>48640.66</v>
      </c>
      <c r="N88" s="621">
        <v>38933.07</v>
      </c>
      <c r="O88" s="621">
        <v>48706.590000000004</v>
      </c>
      <c r="P88" s="780"/>
      <c r="Q88" s="621">
        <v>16828.75</v>
      </c>
      <c r="R88" s="621">
        <v>13411.07</v>
      </c>
      <c r="S88" s="621">
        <v>102146.58</v>
      </c>
    </row>
    <row r="89" spans="1:19">
      <c r="A89" s="796">
        <f t="shared" si="30"/>
        <v>9.2399999999999949</v>
      </c>
      <c r="B89" s="621" t="s">
        <v>1349</v>
      </c>
      <c r="C89" s="780">
        <f t="shared" si="24"/>
        <v>946582.04</v>
      </c>
      <c r="D89" s="780">
        <f t="shared" si="25"/>
        <v>492222.44999999995</v>
      </c>
      <c r="E89" s="780"/>
      <c r="F89" s="780"/>
      <c r="G89" s="780">
        <f t="shared" si="26"/>
        <v>719402</v>
      </c>
      <c r="H89" s="780"/>
      <c r="I89" s="780">
        <f t="shared" si="27"/>
        <v>138363.72500000001</v>
      </c>
      <c r="J89" s="780">
        <f t="shared" si="28"/>
        <v>0</v>
      </c>
      <c r="K89" s="780">
        <f t="shared" si="29"/>
        <v>581038.52</v>
      </c>
      <c r="L89" s="780"/>
      <c r="M89" s="621">
        <v>182057.67</v>
      </c>
      <c r="N89" s="621"/>
      <c r="O89" s="621">
        <v>764524.37</v>
      </c>
      <c r="P89" s="780"/>
      <c r="Q89" s="621">
        <v>94669.78</v>
      </c>
      <c r="R89" s="621"/>
      <c r="S89" s="621">
        <v>397552.67</v>
      </c>
    </row>
    <row r="90" spans="1:19">
      <c r="A90" s="796">
        <f t="shared" si="30"/>
        <v>9.2499999999999947</v>
      </c>
      <c r="B90" s="621" t="s">
        <v>1350</v>
      </c>
      <c r="C90" s="780">
        <f t="shared" si="24"/>
        <v>0.36</v>
      </c>
      <c r="D90" s="780">
        <f t="shared" si="25"/>
        <v>0.36</v>
      </c>
      <c r="E90" s="780"/>
      <c r="F90" s="780"/>
      <c r="G90" s="780">
        <f t="shared" si="26"/>
        <v>0</v>
      </c>
      <c r="H90" s="780"/>
      <c r="I90" s="780">
        <f t="shared" si="27"/>
        <v>0</v>
      </c>
      <c r="J90" s="780">
        <f t="shared" si="28"/>
        <v>0</v>
      </c>
      <c r="K90" s="780">
        <f t="shared" si="29"/>
        <v>0.36</v>
      </c>
      <c r="L90" s="780"/>
      <c r="M90" s="621"/>
      <c r="N90" s="621"/>
      <c r="O90" s="621">
        <v>0.36</v>
      </c>
      <c r="P90" s="780"/>
      <c r="Q90" s="621"/>
      <c r="R90" s="621"/>
      <c r="S90" s="621">
        <v>0.36</v>
      </c>
    </row>
    <row r="91" spans="1:19">
      <c r="A91" s="796">
        <f t="shared" si="30"/>
        <v>9.2599999999999945</v>
      </c>
      <c r="B91" s="621" t="s">
        <v>1351</v>
      </c>
      <c r="C91" s="780">
        <f t="shared" si="24"/>
        <v>2007136.78</v>
      </c>
      <c r="D91" s="780">
        <f t="shared" si="25"/>
        <v>373576.38</v>
      </c>
      <c r="E91" s="780"/>
      <c r="F91" s="780"/>
      <c r="G91" s="780">
        <f t="shared" si="26"/>
        <v>1190357</v>
      </c>
      <c r="H91" s="780"/>
      <c r="I91" s="780">
        <f t="shared" si="27"/>
        <v>1190356.58</v>
      </c>
      <c r="J91" s="780">
        <f t="shared" si="28"/>
        <v>0</v>
      </c>
      <c r="K91" s="780">
        <f t="shared" si="29"/>
        <v>0</v>
      </c>
      <c r="L91" s="780"/>
      <c r="M91" s="621">
        <v>2007136.78</v>
      </c>
      <c r="N91" s="621"/>
      <c r="O91" s="621"/>
      <c r="P91" s="780"/>
      <c r="Q91" s="621">
        <v>373576.38</v>
      </c>
      <c r="R91" s="621"/>
      <c r="S91" s="621"/>
    </row>
    <row r="92" spans="1:19">
      <c r="A92" s="796">
        <f t="shared" si="30"/>
        <v>9.2699999999999942</v>
      </c>
      <c r="B92" s="621" t="s">
        <v>1352</v>
      </c>
      <c r="C92" s="780">
        <f t="shared" si="24"/>
        <v>-0.5</v>
      </c>
      <c r="D92" s="780">
        <f t="shared" si="25"/>
        <v>-0.5</v>
      </c>
      <c r="E92" s="780"/>
      <c r="F92" s="780"/>
      <c r="G92" s="780">
        <f t="shared" si="26"/>
        <v>-1</v>
      </c>
      <c r="H92" s="780"/>
      <c r="I92" s="780">
        <f t="shared" si="27"/>
        <v>0</v>
      </c>
      <c r="J92" s="780">
        <f t="shared" si="28"/>
        <v>0</v>
      </c>
      <c r="K92" s="780">
        <f t="shared" si="29"/>
        <v>-0.5</v>
      </c>
      <c r="L92" s="780"/>
      <c r="M92" s="621"/>
      <c r="N92" s="621"/>
      <c r="O92" s="621">
        <v>-0.5</v>
      </c>
      <c r="P92" s="780"/>
      <c r="Q92" s="621"/>
      <c r="R92" s="621"/>
      <c r="S92" s="621">
        <v>-0.5</v>
      </c>
    </row>
    <row r="93" spans="1:19">
      <c r="A93" s="796">
        <f t="shared" si="30"/>
        <v>9.279999999999994</v>
      </c>
      <c r="B93" s="621" t="s">
        <v>1353</v>
      </c>
      <c r="C93" s="1186">
        <f t="shared" si="24"/>
        <v>0.13</v>
      </c>
      <c r="D93" s="1186">
        <f t="shared" si="25"/>
        <v>0.13</v>
      </c>
      <c r="E93" s="1186"/>
      <c r="F93" s="1186"/>
      <c r="G93" s="1186">
        <f t="shared" si="26"/>
        <v>0</v>
      </c>
      <c r="H93" s="1186"/>
      <c r="I93" s="1186">
        <f t="shared" si="27"/>
        <v>0.13</v>
      </c>
      <c r="J93" s="1186">
        <f t="shared" si="28"/>
        <v>0</v>
      </c>
      <c r="K93" s="1186">
        <f t="shared" si="29"/>
        <v>0</v>
      </c>
      <c r="L93" s="1186"/>
      <c r="M93" s="621">
        <v>0.13</v>
      </c>
      <c r="N93" s="621"/>
      <c r="O93" s="621"/>
      <c r="P93" s="780"/>
      <c r="Q93" s="621">
        <v>0.13</v>
      </c>
      <c r="R93" s="621"/>
      <c r="S93" s="621"/>
    </row>
    <row r="94" spans="1:19">
      <c r="A94" s="796">
        <f t="shared" si="30"/>
        <v>9.2899999999999938</v>
      </c>
      <c r="B94" s="621" t="s">
        <v>1354</v>
      </c>
      <c r="C94" s="780">
        <f t="shared" si="24"/>
        <v>23095138.289999999</v>
      </c>
      <c r="D94" s="780">
        <f t="shared" si="25"/>
        <v>21838231.170000002</v>
      </c>
      <c r="E94" s="780"/>
      <c r="F94" s="780"/>
      <c r="G94" s="780">
        <f t="shared" si="26"/>
        <v>22466685</v>
      </c>
      <c r="H94" s="780"/>
      <c r="I94" s="780">
        <f t="shared" si="27"/>
        <v>5957414.085</v>
      </c>
      <c r="J94" s="780">
        <f t="shared" si="28"/>
        <v>2527581.5249999999</v>
      </c>
      <c r="K94" s="780">
        <f t="shared" si="29"/>
        <v>13981689.120000001</v>
      </c>
      <c r="L94" s="780"/>
      <c r="M94" s="621">
        <v>6112597.0499999998</v>
      </c>
      <c r="N94" s="621">
        <v>2523680.25</v>
      </c>
      <c r="O94" s="621">
        <v>14458860.99</v>
      </c>
      <c r="P94" s="780"/>
      <c r="Q94" s="621">
        <v>5802231.1200000001</v>
      </c>
      <c r="R94" s="621">
        <v>2531482.7999999998</v>
      </c>
      <c r="S94" s="621">
        <v>13504517.25</v>
      </c>
    </row>
    <row r="95" spans="1:19">
      <c r="A95" s="796">
        <f t="shared" si="30"/>
        <v>9.2999999999999936</v>
      </c>
      <c r="B95" s="621" t="s">
        <v>1355</v>
      </c>
      <c r="C95" s="780">
        <f t="shared" si="24"/>
        <v>-8634.15</v>
      </c>
      <c r="D95" s="780">
        <f t="shared" si="25"/>
        <v>-25383.75</v>
      </c>
      <c r="E95" s="780"/>
      <c r="F95" s="780"/>
      <c r="G95" s="780">
        <f t="shared" si="26"/>
        <v>-17009</v>
      </c>
      <c r="H95" s="780"/>
      <c r="I95" s="780">
        <f t="shared" si="27"/>
        <v>10359.405000000001</v>
      </c>
      <c r="J95" s="780">
        <f t="shared" si="28"/>
        <v>0.315</v>
      </c>
      <c r="K95" s="780">
        <f t="shared" si="29"/>
        <v>-27368.67</v>
      </c>
      <c r="L95" s="780"/>
      <c r="M95" s="621">
        <v>15786.75</v>
      </c>
      <c r="N95" s="621">
        <v>0.63</v>
      </c>
      <c r="O95" s="621">
        <v>-24421.53</v>
      </c>
      <c r="P95" s="780"/>
      <c r="Q95" s="621">
        <v>4932.0600000000004</v>
      </c>
      <c r="R95" s="621"/>
      <c r="S95" s="621">
        <v>-30315.81</v>
      </c>
    </row>
    <row r="96" spans="1:19">
      <c r="A96" s="796">
        <f t="shared" si="30"/>
        <v>9.3099999999999934</v>
      </c>
      <c r="B96" s="621" t="s">
        <v>1356</v>
      </c>
      <c r="C96" s="780">
        <f t="shared" si="24"/>
        <v>-430349.67000000004</v>
      </c>
      <c r="D96" s="780">
        <f t="shared" si="25"/>
        <v>-3129036.02</v>
      </c>
      <c r="E96" s="780"/>
      <c r="F96" s="780"/>
      <c r="G96" s="780">
        <f t="shared" si="26"/>
        <v>-1779693</v>
      </c>
      <c r="H96" s="780"/>
      <c r="I96" s="780">
        <f t="shared" si="27"/>
        <v>-891559.17500000005</v>
      </c>
      <c r="J96" s="780">
        <f t="shared" si="28"/>
        <v>360705.55</v>
      </c>
      <c r="K96" s="780">
        <f t="shared" si="29"/>
        <v>-1248839.22</v>
      </c>
      <c r="L96" s="780"/>
      <c r="M96" s="621">
        <v>-219752.30000000002</v>
      </c>
      <c r="N96" s="621">
        <v>380046.81</v>
      </c>
      <c r="O96" s="621">
        <v>-590644.18000000005</v>
      </c>
      <c r="P96" s="780"/>
      <c r="Q96" s="621">
        <v>-1563366.05</v>
      </c>
      <c r="R96" s="621">
        <v>341364.29</v>
      </c>
      <c r="S96" s="621">
        <v>-1907034.26</v>
      </c>
    </row>
    <row r="97" spans="1:19">
      <c r="A97" s="796">
        <f t="shared" si="30"/>
        <v>9.3199999999999932</v>
      </c>
      <c r="B97" s="621" t="s">
        <v>1357</v>
      </c>
      <c r="C97" s="780">
        <f t="shared" si="24"/>
        <v>0.19</v>
      </c>
      <c r="D97" s="780">
        <f t="shared" si="25"/>
        <v>0.19</v>
      </c>
      <c r="E97" s="780"/>
      <c r="F97" s="780"/>
      <c r="G97" s="780">
        <f t="shared" si="26"/>
        <v>0</v>
      </c>
      <c r="H97" s="780"/>
      <c r="I97" s="780">
        <f t="shared" si="27"/>
        <v>0.19</v>
      </c>
      <c r="J97" s="780">
        <f t="shared" si="28"/>
        <v>0</v>
      </c>
      <c r="K97" s="780">
        <f t="shared" si="29"/>
        <v>0</v>
      </c>
      <c r="L97" s="780"/>
      <c r="M97" s="621">
        <v>0.19</v>
      </c>
      <c r="N97" s="621"/>
      <c r="O97" s="621"/>
      <c r="P97" s="780"/>
      <c r="Q97" s="621">
        <v>0.19</v>
      </c>
      <c r="R97" s="621"/>
      <c r="S97" s="621"/>
    </row>
    <row r="98" spans="1:19">
      <c r="A98" s="796">
        <f t="shared" si="30"/>
        <v>9.329999999999993</v>
      </c>
      <c r="B98" s="621" t="s">
        <v>1358</v>
      </c>
      <c r="C98" s="780">
        <f t="shared" si="24"/>
        <v>722407.47</v>
      </c>
      <c r="D98" s="780">
        <f t="shared" si="25"/>
        <v>2314497.15</v>
      </c>
      <c r="E98" s="780"/>
      <c r="F98" s="780"/>
      <c r="G98" s="780">
        <f t="shared" si="26"/>
        <v>1518452</v>
      </c>
      <c r="H98" s="780"/>
      <c r="I98" s="780">
        <f t="shared" si="27"/>
        <v>0</v>
      </c>
      <c r="J98" s="780">
        <f t="shared" si="28"/>
        <v>1518452.31</v>
      </c>
      <c r="K98" s="780">
        <f t="shared" si="29"/>
        <v>0</v>
      </c>
      <c r="L98" s="780"/>
      <c r="M98" s="621"/>
      <c r="N98" s="621">
        <v>722407.47</v>
      </c>
      <c r="O98" s="621"/>
      <c r="P98" s="780"/>
      <c r="Q98" s="621"/>
      <c r="R98" s="621">
        <v>2314497.15</v>
      </c>
      <c r="S98" s="621"/>
    </row>
    <row r="99" spans="1:19">
      <c r="A99" s="796">
        <f t="shared" si="30"/>
        <v>9.3399999999999928</v>
      </c>
      <c r="B99" s="621" t="s">
        <v>1359</v>
      </c>
      <c r="C99" s="780">
        <f t="shared" si="24"/>
        <v>-0.11</v>
      </c>
      <c r="D99" s="780">
        <f t="shared" si="25"/>
        <v>-0.11</v>
      </c>
      <c r="E99" s="780"/>
      <c r="F99" s="780"/>
      <c r="G99" s="780">
        <f t="shared" si="26"/>
        <v>0</v>
      </c>
      <c r="H99" s="780"/>
      <c r="I99" s="780">
        <f t="shared" si="27"/>
        <v>-0.11</v>
      </c>
      <c r="J99" s="780">
        <f t="shared" si="28"/>
        <v>0</v>
      </c>
      <c r="K99" s="780">
        <f t="shared" si="29"/>
        <v>0</v>
      </c>
      <c r="L99" s="780"/>
      <c r="M99" s="621">
        <v>-0.11</v>
      </c>
      <c r="N99" s="621"/>
      <c r="O99" s="621"/>
      <c r="P99" s="780"/>
      <c r="Q99" s="621">
        <v>-0.11</v>
      </c>
      <c r="R99" s="621"/>
      <c r="S99" s="621"/>
    </row>
    <row r="100" spans="1:19">
      <c r="A100" s="796">
        <f t="shared" si="30"/>
        <v>9.3499999999999925</v>
      </c>
      <c r="B100" s="621" t="s">
        <v>1360</v>
      </c>
      <c r="C100" s="780">
        <f t="shared" si="24"/>
        <v>0.21</v>
      </c>
      <c r="D100" s="780">
        <f t="shared" si="25"/>
        <v>0.21</v>
      </c>
      <c r="E100" s="780"/>
      <c r="F100" s="780"/>
      <c r="G100" s="780">
        <f t="shared" si="26"/>
        <v>0</v>
      </c>
      <c r="H100" s="780"/>
      <c r="I100" s="780">
        <f t="shared" si="27"/>
        <v>0.21</v>
      </c>
      <c r="J100" s="780">
        <f t="shared" si="28"/>
        <v>0</v>
      </c>
      <c r="K100" s="780">
        <f t="shared" si="29"/>
        <v>0</v>
      </c>
      <c r="L100" s="780"/>
      <c r="M100" s="621">
        <v>0.21</v>
      </c>
      <c r="N100" s="621"/>
      <c r="O100" s="621"/>
      <c r="P100" s="780"/>
      <c r="Q100" s="621">
        <v>0.21</v>
      </c>
      <c r="R100" s="621"/>
      <c r="S100" s="621"/>
    </row>
    <row r="101" spans="1:19">
      <c r="A101" s="796">
        <f t="shared" si="30"/>
        <v>9.3599999999999923</v>
      </c>
      <c r="B101" s="621" t="s">
        <v>1361</v>
      </c>
      <c r="C101" s="780">
        <f t="shared" si="24"/>
        <v>2425944.48</v>
      </c>
      <c r="D101" s="780">
        <f t="shared" si="25"/>
        <v>658610.69000000006</v>
      </c>
      <c r="E101" s="780"/>
      <c r="F101" s="780"/>
      <c r="G101" s="780">
        <f t="shared" si="26"/>
        <v>1542278</v>
      </c>
      <c r="H101" s="780"/>
      <c r="I101" s="780">
        <f t="shared" si="27"/>
        <v>1542277.585</v>
      </c>
      <c r="J101" s="780">
        <f t="shared" si="28"/>
        <v>0</v>
      </c>
      <c r="K101" s="780">
        <f t="shared" si="29"/>
        <v>0</v>
      </c>
      <c r="L101" s="780"/>
      <c r="M101" s="621">
        <v>2425944.48</v>
      </c>
      <c r="N101" s="621"/>
      <c r="O101" s="621"/>
      <c r="P101" s="780"/>
      <c r="Q101" s="621">
        <v>658610.69000000006</v>
      </c>
      <c r="R101" s="621"/>
      <c r="S101" s="621"/>
    </row>
    <row r="102" spans="1:19">
      <c r="A102" s="796">
        <f t="shared" si="30"/>
        <v>9.3699999999999921</v>
      </c>
      <c r="B102" s="621" t="s">
        <v>1362</v>
      </c>
      <c r="C102" s="780">
        <f t="shared" si="24"/>
        <v>0.01</v>
      </c>
      <c r="D102" s="780">
        <f t="shared" si="25"/>
        <v>0</v>
      </c>
      <c r="E102" s="780"/>
      <c r="F102" s="780"/>
      <c r="G102" s="780">
        <f t="shared" si="26"/>
        <v>0</v>
      </c>
      <c r="H102" s="780"/>
      <c r="I102" s="780">
        <f t="shared" si="27"/>
        <v>5.0000000000000001E-3</v>
      </c>
      <c r="J102" s="780">
        <f t="shared" si="28"/>
        <v>0</v>
      </c>
      <c r="K102" s="780">
        <f t="shared" si="29"/>
        <v>0</v>
      </c>
      <c r="L102" s="780"/>
      <c r="M102" s="621">
        <v>0.01</v>
      </c>
      <c r="N102" s="621"/>
      <c r="O102" s="621"/>
      <c r="P102" s="780"/>
      <c r="Q102" s="621"/>
      <c r="R102" s="621"/>
      <c r="S102" s="621"/>
    </row>
    <row r="103" spans="1:19">
      <c r="A103" s="796">
        <f t="shared" si="30"/>
        <v>9.3799999999999919</v>
      </c>
      <c r="B103" s="621" t="s">
        <v>1363</v>
      </c>
      <c r="C103" s="780">
        <f t="shared" si="24"/>
        <v>225750.54</v>
      </c>
      <c r="D103" s="780">
        <f t="shared" si="25"/>
        <v>299344.22000000003</v>
      </c>
      <c r="E103" s="780"/>
      <c r="F103" s="780"/>
      <c r="G103" s="780">
        <f t="shared" si="26"/>
        <v>262547</v>
      </c>
      <c r="H103" s="780"/>
      <c r="I103" s="780">
        <f t="shared" si="27"/>
        <v>0</v>
      </c>
      <c r="J103" s="780">
        <f t="shared" si="28"/>
        <v>0</v>
      </c>
      <c r="K103" s="780">
        <f t="shared" si="29"/>
        <v>262547.38</v>
      </c>
      <c r="L103" s="780"/>
      <c r="M103" s="621"/>
      <c r="N103" s="621"/>
      <c r="O103" s="621">
        <v>225750.54</v>
      </c>
      <c r="P103" s="780"/>
      <c r="Q103" s="621"/>
      <c r="R103" s="621"/>
      <c r="S103" s="621">
        <v>299344.22000000003</v>
      </c>
    </row>
    <row r="104" spans="1:19">
      <c r="A104" s="796">
        <f t="shared" si="30"/>
        <v>9.3899999999999917</v>
      </c>
      <c r="B104" s="621" t="s">
        <v>1364</v>
      </c>
      <c r="C104" s="780">
        <f t="shared" si="24"/>
        <v>-0.02</v>
      </c>
      <c r="D104" s="780">
        <f t="shared" si="25"/>
        <v>-0.02</v>
      </c>
      <c r="E104" s="780"/>
      <c r="F104" s="780"/>
      <c r="G104" s="780">
        <f t="shared" si="26"/>
        <v>0</v>
      </c>
      <c r="H104" s="780"/>
      <c r="I104" s="780">
        <f t="shared" si="27"/>
        <v>-0.01</v>
      </c>
      <c r="J104" s="780">
        <f t="shared" si="28"/>
        <v>0</v>
      </c>
      <c r="K104" s="780">
        <f t="shared" si="29"/>
        <v>-0.01</v>
      </c>
      <c r="L104" s="780"/>
      <c r="M104" s="621">
        <v>-0.01</v>
      </c>
      <c r="N104" s="621"/>
      <c r="O104" s="621">
        <v>-0.01</v>
      </c>
      <c r="P104" s="780"/>
      <c r="Q104" s="621">
        <v>-0.01</v>
      </c>
      <c r="R104" s="621"/>
      <c r="S104" s="621">
        <v>-0.01</v>
      </c>
    </row>
    <row r="105" spans="1:19">
      <c r="A105" s="796">
        <f t="shared" si="30"/>
        <v>9.3999999999999915</v>
      </c>
      <c r="B105" s="621" t="s">
        <v>1365</v>
      </c>
      <c r="C105" s="780">
        <f t="shared" si="24"/>
        <v>-0.01</v>
      </c>
      <c r="D105" s="780">
        <f t="shared" si="25"/>
        <v>-0.01</v>
      </c>
      <c r="E105" s="780"/>
      <c r="F105" s="780"/>
      <c r="G105" s="780">
        <f t="shared" si="26"/>
        <v>0</v>
      </c>
      <c r="H105" s="780"/>
      <c r="I105" s="780">
        <f t="shared" si="27"/>
        <v>-0.01</v>
      </c>
      <c r="J105" s="780">
        <f t="shared" si="28"/>
        <v>0</v>
      </c>
      <c r="K105" s="780">
        <f t="shared" si="29"/>
        <v>0</v>
      </c>
      <c r="L105" s="780"/>
      <c r="M105" s="621">
        <v>-0.01</v>
      </c>
      <c r="N105" s="621"/>
      <c r="O105" s="621"/>
      <c r="P105" s="780"/>
      <c r="Q105" s="621">
        <v>-0.01</v>
      </c>
      <c r="R105" s="621"/>
      <c r="S105" s="621"/>
    </row>
    <row r="106" spans="1:19">
      <c r="A106" s="796">
        <f t="shared" si="30"/>
        <v>9.4099999999999913</v>
      </c>
      <c r="B106" s="621" t="s">
        <v>1366</v>
      </c>
      <c r="C106" s="780">
        <f t="shared" si="24"/>
        <v>2299836.08</v>
      </c>
      <c r="D106" s="780">
        <f t="shared" si="25"/>
        <v>1962712.8399999999</v>
      </c>
      <c r="E106" s="780"/>
      <c r="F106" s="780"/>
      <c r="G106" s="780">
        <f t="shared" si="26"/>
        <v>2131274</v>
      </c>
      <c r="H106" s="780"/>
      <c r="I106" s="780">
        <f t="shared" si="27"/>
        <v>0</v>
      </c>
      <c r="J106" s="780">
        <f t="shared" si="28"/>
        <v>0</v>
      </c>
      <c r="K106" s="780">
        <f t="shared" si="29"/>
        <v>2131274.46</v>
      </c>
      <c r="L106" s="780"/>
      <c r="M106" s="621"/>
      <c r="N106" s="621"/>
      <c r="O106" s="621">
        <v>2299836.08</v>
      </c>
      <c r="P106" s="780"/>
      <c r="Q106" s="621"/>
      <c r="R106" s="621"/>
      <c r="S106" s="621">
        <v>1962712.8399999999</v>
      </c>
    </row>
    <row r="107" spans="1:19">
      <c r="A107" s="796">
        <f t="shared" si="30"/>
        <v>9.419999999999991</v>
      </c>
      <c r="B107" s="621" t="s">
        <v>1367</v>
      </c>
      <c r="C107" s="780">
        <f t="shared" si="24"/>
        <v>2489362.38</v>
      </c>
      <c r="D107" s="780">
        <f t="shared" si="25"/>
        <v>2620016.25</v>
      </c>
      <c r="E107" s="780"/>
      <c r="F107" s="780"/>
      <c r="G107" s="780">
        <f t="shared" si="26"/>
        <v>2554689</v>
      </c>
      <c r="H107" s="780"/>
      <c r="I107" s="780">
        <f t="shared" si="27"/>
        <v>0</v>
      </c>
      <c r="J107" s="780">
        <f t="shared" si="28"/>
        <v>0</v>
      </c>
      <c r="K107" s="780">
        <f t="shared" si="29"/>
        <v>2554689.3149999999</v>
      </c>
      <c r="L107" s="780"/>
      <c r="M107" s="621"/>
      <c r="N107" s="621"/>
      <c r="O107" s="621">
        <v>2489362.38</v>
      </c>
      <c r="P107" s="780"/>
      <c r="Q107" s="621"/>
      <c r="R107" s="621"/>
      <c r="S107" s="621">
        <v>2620016.25</v>
      </c>
    </row>
    <row r="108" spans="1:19">
      <c r="A108" s="796">
        <f t="shared" si="30"/>
        <v>9.4299999999999908</v>
      </c>
      <c r="B108" s="621" t="s">
        <v>1368</v>
      </c>
      <c r="C108" s="780">
        <f t="shared" si="24"/>
        <v>0.2</v>
      </c>
      <c r="D108" s="780">
        <f t="shared" si="25"/>
        <v>0.2</v>
      </c>
      <c r="E108" s="780"/>
      <c r="F108" s="780"/>
      <c r="G108" s="780">
        <f t="shared" si="26"/>
        <v>0</v>
      </c>
      <c r="H108" s="780"/>
      <c r="I108" s="780">
        <f t="shared" si="27"/>
        <v>0.2</v>
      </c>
      <c r="J108" s="780">
        <f t="shared" si="28"/>
        <v>0</v>
      </c>
      <c r="K108" s="780">
        <f t="shared" si="29"/>
        <v>0</v>
      </c>
      <c r="L108" s="780"/>
      <c r="M108" s="621">
        <v>0.2</v>
      </c>
      <c r="N108" s="621"/>
      <c r="O108" s="621"/>
      <c r="P108" s="780"/>
      <c r="Q108" s="621">
        <v>0.2</v>
      </c>
      <c r="R108" s="621"/>
      <c r="S108" s="621"/>
    </row>
    <row r="109" spans="1:19">
      <c r="A109" s="796">
        <f t="shared" si="30"/>
        <v>9.4399999999999906</v>
      </c>
      <c r="B109" s="621" t="s">
        <v>1369</v>
      </c>
      <c r="C109" s="780">
        <f t="shared" si="24"/>
        <v>214217.86000000002</v>
      </c>
      <c r="D109" s="780">
        <f t="shared" si="25"/>
        <v>16478.29</v>
      </c>
      <c r="E109" s="780"/>
      <c r="F109" s="780"/>
      <c r="G109" s="780">
        <f t="shared" si="26"/>
        <v>115348</v>
      </c>
      <c r="H109" s="780"/>
      <c r="I109" s="780">
        <f t="shared" si="27"/>
        <v>0</v>
      </c>
      <c r="J109" s="780">
        <f t="shared" si="28"/>
        <v>0</v>
      </c>
      <c r="K109" s="780">
        <f t="shared" si="29"/>
        <v>115348.07500000001</v>
      </c>
      <c r="L109" s="780"/>
      <c r="M109" s="621"/>
      <c r="N109" s="621"/>
      <c r="O109" s="621">
        <v>214217.86000000002</v>
      </c>
      <c r="P109" s="780"/>
      <c r="Q109" s="621"/>
      <c r="R109" s="621"/>
      <c r="S109" s="621">
        <v>16478.29</v>
      </c>
    </row>
    <row r="110" spans="1:19">
      <c r="A110" s="796">
        <f t="shared" si="30"/>
        <v>9.4499999999999904</v>
      </c>
      <c r="B110" s="621" t="s">
        <v>1370</v>
      </c>
      <c r="C110" s="780">
        <f t="shared" si="24"/>
        <v>-54388.109999999986</v>
      </c>
      <c r="D110" s="780">
        <f t="shared" si="25"/>
        <v>393932.91000000003</v>
      </c>
      <c r="E110" s="780"/>
      <c r="F110" s="780"/>
      <c r="G110" s="780">
        <f t="shared" si="26"/>
        <v>169772</v>
      </c>
      <c r="H110" s="780"/>
      <c r="I110" s="780">
        <f t="shared" si="27"/>
        <v>252703.815</v>
      </c>
      <c r="J110" s="780">
        <f t="shared" si="28"/>
        <v>-82931.414999999994</v>
      </c>
      <c r="K110" s="780">
        <f t="shared" si="29"/>
        <v>0</v>
      </c>
      <c r="L110" s="780"/>
      <c r="M110" s="621">
        <v>282019.5</v>
      </c>
      <c r="N110" s="621">
        <v>-336407.61</v>
      </c>
      <c r="O110" s="621"/>
      <c r="P110" s="780"/>
      <c r="Q110" s="621">
        <v>223388.13</v>
      </c>
      <c r="R110" s="621">
        <v>170544.78</v>
      </c>
      <c r="S110" s="621"/>
    </row>
    <row r="111" spans="1:19">
      <c r="A111" s="796">
        <f t="shared" si="30"/>
        <v>9.4599999999999902</v>
      </c>
      <c r="B111" s="621" t="s">
        <v>1371</v>
      </c>
      <c r="C111" s="780">
        <f t="shared" si="24"/>
        <v>0</v>
      </c>
      <c r="D111" s="780">
        <f t="shared" si="25"/>
        <v>0</v>
      </c>
      <c r="E111" s="780"/>
      <c r="F111" s="780"/>
      <c r="G111" s="780">
        <f t="shared" si="26"/>
        <v>0</v>
      </c>
      <c r="H111" s="780"/>
      <c r="I111" s="780">
        <f t="shared" si="27"/>
        <v>0</v>
      </c>
      <c r="J111" s="780">
        <f t="shared" si="28"/>
        <v>0</v>
      </c>
      <c r="K111" s="780">
        <f t="shared" si="29"/>
        <v>0</v>
      </c>
      <c r="L111" s="780"/>
      <c r="M111" s="621"/>
      <c r="N111" s="621"/>
      <c r="O111" s="621">
        <v>0</v>
      </c>
      <c r="P111" s="780"/>
      <c r="Q111" s="621"/>
      <c r="R111" s="621"/>
      <c r="S111" s="621"/>
    </row>
    <row r="112" spans="1:19">
      <c r="A112" s="796">
        <f t="shared" si="30"/>
        <v>9.46999999999999</v>
      </c>
      <c r="B112" s="621" t="s">
        <v>1372</v>
      </c>
      <c r="C112" s="780">
        <f t="shared" si="24"/>
        <v>-0.02</v>
      </c>
      <c r="D112" s="780">
        <f t="shared" si="25"/>
        <v>-0.02</v>
      </c>
      <c r="E112" s="780"/>
      <c r="F112" s="780"/>
      <c r="G112" s="780">
        <f t="shared" si="26"/>
        <v>0</v>
      </c>
      <c r="H112" s="780"/>
      <c r="I112" s="780">
        <f t="shared" si="27"/>
        <v>-0.02</v>
      </c>
      <c r="J112" s="780">
        <f t="shared" si="28"/>
        <v>0</v>
      </c>
      <c r="K112" s="780">
        <f t="shared" si="29"/>
        <v>0</v>
      </c>
      <c r="L112" s="780"/>
      <c r="M112" s="621">
        <v>-0.02</v>
      </c>
      <c r="N112" s="621"/>
      <c r="O112" s="621"/>
      <c r="P112" s="780"/>
      <c r="Q112" s="621">
        <v>-0.02</v>
      </c>
      <c r="R112" s="621"/>
      <c r="S112" s="621"/>
    </row>
    <row r="113" spans="1:19">
      <c r="A113" s="796">
        <f t="shared" si="30"/>
        <v>9.4799999999999898</v>
      </c>
      <c r="B113" s="621" t="s">
        <v>1373</v>
      </c>
      <c r="C113" s="780">
        <f t="shared" si="24"/>
        <v>82755.58</v>
      </c>
      <c r="D113" s="780">
        <f t="shared" si="25"/>
        <v>43032.790000000008</v>
      </c>
      <c r="E113" s="780"/>
      <c r="F113" s="780"/>
      <c r="G113" s="780">
        <f t="shared" si="26"/>
        <v>62894</v>
      </c>
      <c r="H113" s="780"/>
      <c r="I113" s="780">
        <f t="shared" si="27"/>
        <v>13389.125</v>
      </c>
      <c r="J113" s="780">
        <f t="shared" si="28"/>
        <v>-0.21</v>
      </c>
      <c r="K113" s="780">
        <f t="shared" si="29"/>
        <v>49505.270000000004</v>
      </c>
      <c r="L113" s="780"/>
      <c r="M113" s="621">
        <v>17617.27</v>
      </c>
      <c r="N113" s="621">
        <v>-0.21</v>
      </c>
      <c r="O113" s="621">
        <v>65138.520000000004</v>
      </c>
      <c r="P113" s="780"/>
      <c r="Q113" s="621">
        <v>9160.98</v>
      </c>
      <c r="R113" s="621">
        <v>-0.21</v>
      </c>
      <c r="S113" s="621">
        <v>33872.020000000004</v>
      </c>
    </row>
    <row r="114" spans="1:19">
      <c r="A114" s="796">
        <f t="shared" si="30"/>
        <v>9.4899999999999896</v>
      </c>
      <c r="B114" s="621" t="s">
        <v>1374</v>
      </c>
      <c r="C114" s="1186">
        <f t="shared" si="24"/>
        <v>63997315.170000002</v>
      </c>
      <c r="D114" s="1186">
        <f t="shared" si="25"/>
        <v>66515819.729999997</v>
      </c>
      <c r="E114" s="1186"/>
      <c r="F114" s="1186"/>
      <c r="G114" s="1186">
        <f t="shared" si="26"/>
        <v>65256567</v>
      </c>
      <c r="H114" s="1186"/>
      <c r="I114" s="1186">
        <f t="shared" si="27"/>
        <v>65256567.450000003</v>
      </c>
      <c r="J114" s="1186">
        <f t="shared" si="28"/>
        <v>0</v>
      </c>
      <c r="K114" s="1186">
        <f t="shared" si="29"/>
        <v>0</v>
      </c>
      <c r="L114" s="1186"/>
      <c r="M114" s="621">
        <v>63997315.170000002</v>
      </c>
      <c r="N114" s="621"/>
      <c r="O114" s="621"/>
      <c r="P114" s="1186"/>
      <c r="Q114" s="621">
        <v>66515819.729999997</v>
      </c>
      <c r="R114" s="621"/>
      <c r="S114" s="621"/>
    </row>
    <row r="115" spans="1:19">
      <c r="A115" s="796">
        <f t="shared" si="30"/>
        <v>9.4999999999999893</v>
      </c>
      <c r="B115" s="621" t="s">
        <v>1375</v>
      </c>
      <c r="C115" s="780">
        <f t="shared" si="24"/>
        <v>23499449.379999999</v>
      </c>
      <c r="D115" s="780">
        <f t="shared" si="25"/>
        <v>39776658.560000002</v>
      </c>
      <c r="E115" s="780"/>
      <c r="F115" s="780"/>
      <c r="G115" s="780">
        <f t="shared" si="26"/>
        <v>31638054</v>
      </c>
      <c r="H115" s="780"/>
      <c r="I115" s="780">
        <f t="shared" si="27"/>
        <v>133193.89500000002</v>
      </c>
      <c r="J115" s="780">
        <f t="shared" si="28"/>
        <v>0</v>
      </c>
      <c r="K115" s="780">
        <f t="shared" si="29"/>
        <v>31504860.075000003</v>
      </c>
      <c r="L115" s="780"/>
      <c r="M115" s="621">
        <v>112367.29000000001</v>
      </c>
      <c r="N115" s="621"/>
      <c r="O115" s="621">
        <v>23387082.09</v>
      </c>
      <c r="P115" s="780"/>
      <c r="Q115" s="621">
        <v>154020.5</v>
      </c>
      <c r="R115" s="621"/>
      <c r="S115" s="621">
        <v>39622638.060000002</v>
      </c>
    </row>
    <row r="116" spans="1:19">
      <c r="A116" s="796">
        <f t="shared" si="30"/>
        <v>9.5099999999999891</v>
      </c>
      <c r="B116" s="621" t="s">
        <v>1376</v>
      </c>
      <c r="C116" s="780">
        <f t="shared" si="24"/>
        <v>-7387402.6800000006</v>
      </c>
      <c r="D116" s="780">
        <f t="shared" si="25"/>
        <v>-6974755.8699999992</v>
      </c>
      <c r="E116" s="780"/>
      <c r="F116" s="780"/>
      <c r="G116" s="780">
        <f t="shared" si="26"/>
        <v>-7181079</v>
      </c>
      <c r="H116" s="780"/>
      <c r="I116" s="780">
        <f t="shared" si="27"/>
        <v>-3847729.8200000003</v>
      </c>
      <c r="J116" s="780">
        <f t="shared" si="28"/>
        <v>-38406.51</v>
      </c>
      <c r="K116" s="780">
        <f t="shared" si="29"/>
        <v>-3294942.9450000003</v>
      </c>
      <c r="L116" s="780"/>
      <c r="M116" s="621">
        <v>-3989825.2</v>
      </c>
      <c r="N116" s="621">
        <v>-39453.950000000004</v>
      </c>
      <c r="O116" s="621">
        <v>-3358123.5300000003</v>
      </c>
      <c r="P116" s="780"/>
      <c r="Q116" s="621">
        <v>-3705634.44</v>
      </c>
      <c r="R116" s="621">
        <v>-37359.07</v>
      </c>
      <c r="S116" s="621">
        <v>-3231762.36</v>
      </c>
    </row>
    <row r="117" spans="1:19">
      <c r="A117" s="796">
        <f t="shared" si="30"/>
        <v>9.5199999999999889</v>
      </c>
      <c r="B117" s="621" t="s">
        <v>1377</v>
      </c>
      <c r="C117" s="780">
        <f t="shared" si="24"/>
        <v>7387402.6800000006</v>
      </c>
      <c r="D117" s="780">
        <f t="shared" si="25"/>
        <v>6974755.8699999992</v>
      </c>
      <c r="E117" s="780"/>
      <c r="F117" s="780"/>
      <c r="G117" s="780">
        <f t="shared" si="26"/>
        <v>7181079</v>
      </c>
      <c r="H117" s="780"/>
      <c r="I117" s="780">
        <f t="shared" si="27"/>
        <v>3847729.8200000003</v>
      </c>
      <c r="J117" s="780">
        <f t="shared" si="28"/>
        <v>38406.51</v>
      </c>
      <c r="K117" s="780">
        <f t="shared" si="29"/>
        <v>3294942.9450000003</v>
      </c>
      <c r="L117" s="780"/>
      <c r="M117" s="621">
        <v>3989825.2</v>
      </c>
      <c r="N117" s="621">
        <v>39453.950000000004</v>
      </c>
      <c r="O117" s="621">
        <v>3358123.5300000003</v>
      </c>
      <c r="P117" s="780"/>
      <c r="Q117" s="621">
        <v>3705634.44</v>
      </c>
      <c r="R117" s="621">
        <v>37359.07</v>
      </c>
      <c r="S117" s="621">
        <v>3231762.36</v>
      </c>
    </row>
    <row r="118" spans="1:19">
      <c r="A118" s="796">
        <f t="shared" si="30"/>
        <v>9.5299999999999887</v>
      </c>
      <c r="B118" s="621" t="s">
        <v>1378</v>
      </c>
      <c r="C118" s="780">
        <f t="shared" si="24"/>
        <v>0</v>
      </c>
      <c r="D118" s="780">
        <f t="shared" si="25"/>
        <v>0</v>
      </c>
      <c r="E118" s="780"/>
      <c r="F118" s="780"/>
      <c r="G118" s="780">
        <f t="shared" si="26"/>
        <v>0</v>
      </c>
      <c r="H118" s="780"/>
      <c r="I118" s="780">
        <f t="shared" si="27"/>
        <v>0</v>
      </c>
      <c r="J118" s="780">
        <f t="shared" si="28"/>
        <v>0</v>
      </c>
      <c r="K118" s="780">
        <f t="shared" si="29"/>
        <v>0</v>
      </c>
      <c r="L118" s="780"/>
      <c r="M118" s="621"/>
      <c r="N118" s="621">
        <v>0</v>
      </c>
      <c r="O118" s="621"/>
      <c r="P118" s="780"/>
      <c r="Q118" s="621"/>
      <c r="R118" s="621"/>
      <c r="S118" s="621"/>
    </row>
    <row r="119" spans="1:19">
      <c r="A119" s="796">
        <f t="shared" si="30"/>
        <v>9.5399999999999885</v>
      </c>
      <c r="B119" s="621" t="s">
        <v>1379</v>
      </c>
      <c r="C119" s="780">
        <f t="shared" si="24"/>
        <v>-0.2</v>
      </c>
      <c r="D119" s="780">
        <f t="shared" si="25"/>
        <v>-0.2</v>
      </c>
      <c r="E119" s="780"/>
      <c r="F119" s="780"/>
      <c r="G119" s="780">
        <f t="shared" si="26"/>
        <v>0</v>
      </c>
      <c r="H119" s="780"/>
      <c r="I119" s="780">
        <f t="shared" si="27"/>
        <v>0</v>
      </c>
      <c r="J119" s="780">
        <f t="shared" si="28"/>
        <v>-0.2</v>
      </c>
      <c r="K119" s="780">
        <f t="shared" si="29"/>
        <v>0</v>
      </c>
      <c r="L119" s="780"/>
      <c r="M119" s="621"/>
      <c r="N119" s="621">
        <v>-0.2</v>
      </c>
      <c r="O119" s="621"/>
      <c r="P119" s="780"/>
      <c r="Q119" s="621"/>
      <c r="R119" s="621">
        <v>-0.2</v>
      </c>
      <c r="S119" s="621"/>
    </row>
    <row r="120" spans="1:19">
      <c r="A120" s="796">
        <f t="shared" si="30"/>
        <v>9.5499999999999883</v>
      </c>
      <c r="B120" s="621" t="s">
        <v>1380</v>
      </c>
      <c r="C120" s="780">
        <f t="shared" si="24"/>
        <v>0</v>
      </c>
      <c r="D120" s="780">
        <f t="shared" si="25"/>
        <v>0</v>
      </c>
      <c r="E120" s="780"/>
      <c r="F120" s="780"/>
      <c r="G120" s="780">
        <f t="shared" si="26"/>
        <v>0</v>
      </c>
      <c r="H120" s="780"/>
      <c r="I120" s="780">
        <f t="shared" si="27"/>
        <v>0</v>
      </c>
      <c r="J120" s="780">
        <f t="shared" si="28"/>
        <v>0</v>
      </c>
      <c r="K120" s="780">
        <f t="shared" si="29"/>
        <v>0</v>
      </c>
      <c r="L120" s="780"/>
      <c r="M120" s="621"/>
      <c r="N120" s="621">
        <v>0</v>
      </c>
      <c r="O120" s="621"/>
      <c r="P120" s="780"/>
      <c r="Q120" s="621"/>
      <c r="R120" s="621"/>
      <c r="S120" s="621"/>
    </row>
    <row r="121" spans="1:19">
      <c r="A121" s="796">
        <f t="shared" si="30"/>
        <v>9.5599999999999881</v>
      </c>
      <c r="B121" s="621" t="s">
        <v>1381</v>
      </c>
      <c r="C121" s="780">
        <f t="shared" si="24"/>
        <v>712419.94000000006</v>
      </c>
      <c r="D121" s="780">
        <f t="shared" si="25"/>
        <v>420023.71</v>
      </c>
      <c r="E121" s="780"/>
      <c r="F121" s="780"/>
      <c r="G121" s="780">
        <f t="shared" si="26"/>
        <v>566222</v>
      </c>
      <c r="H121" s="780"/>
      <c r="I121" s="780">
        <f t="shared" si="27"/>
        <v>0</v>
      </c>
      <c r="J121" s="780">
        <f t="shared" si="28"/>
        <v>0</v>
      </c>
      <c r="K121" s="780">
        <f t="shared" si="29"/>
        <v>566221.82500000007</v>
      </c>
      <c r="L121" s="780"/>
      <c r="M121" s="621"/>
      <c r="N121" s="621"/>
      <c r="O121" s="621">
        <v>712419.94000000006</v>
      </c>
      <c r="P121" s="780"/>
      <c r="Q121" s="621"/>
      <c r="R121" s="621"/>
      <c r="S121" s="621">
        <v>420023.71</v>
      </c>
    </row>
    <row r="122" spans="1:19">
      <c r="A122" s="796">
        <f t="shared" si="30"/>
        <v>9.5699999999999878</v>
      </c>
      <c r="B122" s="621" t="s">
        <v>1382</v>
      </c>
      <c r="C122" s="780">
        <f t="shared" si="24"/>
        <v>1268232.31</v>
      </c>
      <c r="D122" s="780">
        <f t="shared" si="25"/>
        <v>-0.21</v>
      </c>
      <c r="E122" s="780"/>
      <c r="F122" s="780"/>
      <c r="G122" s="780">
        <f t="shared" si="26"/>
        <v>634116</v>
      </c>
      <c r="H122" s="780"/>
      <c r="I122" s="780">
        <f t="shared" si="27"/>
        <v>634116.05000000005</v>
      </c>
      <c r="J122" s="780">
        <f t="shared" si="28"/>
        <v>0</v>
      </c>
      <c r="K122" s="780">
        <f t="shared" si="29"/>
        <v>0</v>
      </c>
      <c r="L122" s="780"/>
      <c r="M122" s="621">
        <v>1268232.31</v>
      </c>
      <c r="N122" s="621"/>
      <c r="O122" s="621"/>
      <c r="P122" s="780"/>
      <c r="Q122" s="621">
        <v>-0.21</v>
      </c>
      <c r="R122" s="621"/>
      <c r="S122" s="621"/>
    </row>
    <row r="123" spans="1:19">
      <c r="A123" s="796">
        <f t="shared" si="30"/>
        <v>9.5799999999999876</v>
      </c>
      <c r="B123" s="621" t="s">
        <v>1383</v>
      </c>
      <c r="C123" s="780">
        <f t="shared" si="24"/>
        <v>93300.540000000008</v>
      </c>
      <c r="D123" s="780">
        <f t="shared" si="25"/>
        <v>318868.98</v>
      </c>
      <c r="E123" s="780"/>
      <c r="F123" s="780"/>
      <c r="G123" s="780">
        <f t="shared" si="26"/>
        <v>206085</v>
      </c>
      <c r="H123" s="780"/>
      <c r="I123" s="780">
        <f t="shared" si="27"/>
        <v>0</v>
      </c>
      <c r="J123" s="780">
        <f t="shared" si="28"/>
        <v>0</v>
      </c>
      <c r="K123" s="780">
        <f t="shared" si="29"/>
        <v>206084.76</v>
      </c>
      <c r="L123" s="780"/>
      <c r="M123" s="621"/>
      <c r="N123" s="621"/>
      <c r="O123" s="621">
        <v>93300.540000000008</v>
      </c>
      <c r="P123" s="780"/>
      <c r="Q123" s="621"/>
      <c r="R123" s="621"/>
      <c r="S123" s="621">
        <v>318868.98</v>
      </c>
    </row>
    <row r="124" spans="1:19">
      <c r="A124" s="796">
        <f t="shared" si="30"/>
        <v>9.5899999999999874</v>
      </c>
      <c r="B124" s="621" t="s">
        <v>1491</v>
      </c>
      <c r="C124" s="780">
        <f t="shared" ref="C124" si="31">SUM(M124:O124)</f>
        <v>0</v>
      </c>
      <c r="D124" s="780">
        <f t="shared" si="25"/>
        <v>91712.88</v>
      </c>
      <c r="E124" s="780"/>
      <c r="F124" s="780"/>
      <c r="G124" s="780">
        <f t="shared" ref="G124" si="32">ROUND(SUM(C124:F124)/2,0)</f>
        <v>45856</v>
      </c>
      <c r="H124" s="780"/>
      <c r="I124" s="780">
        <f t="shared" ref="I124" si="33">(M124+Q124)/2</f>
        <v>0</v>
      </c>
      <c r="J124" s="780">
        <f t="shared" ref="J124" si="34">(N124+R124)/2</f>
        <v>0</v>
      </c>
      <c r="K124" s="780">
        <f t="shared" ref="K124" si="35">(O124+S124)/2</f>
        <v>45856.44</v>
      </c>
      <c r="L124" s="780"/>
      <c r="M124" s="621"/>
      <c r="N124" s="621"/>
      <c r="O124" s="621"/>
      <c r="P124" s="780"/>
      <c r="Q124" s="621"/>
      <c r="R124" s="621"/>
      <c r="S124" s="621">
        <v>91712.88</v>
      </c>
    </row>
    <row r="125" spans="1:19">
      <c r="A125" s="796">
        <f t="shared" si="30"/>
        <v>9.5999999999999872</v>
      </c>
      <c r="B125" s="621" t="s">
        <v>1492</v>
      </c>
      <c r="C125" s="780"/>
      <c r="D125" s="780">
        <f t="shared" si="25"/>
        <v>-36219.54</v>
      </c>
      <c r="E125" s="780"/>
      <c r="F125" s="780"/>
      <c r="G125" s="780"/>
      <c r="H125" s="780"/>
      <c r="I125" s="780"/>
      <c r="J125" s="780"/>
      <c r="K125" s="780"/>
      <c r="L125" s="780"/>
      <c r="M125" s="621"/>
      <c r="N125" s="621"/>
      <c r="O125" s="621"/>
      <c r="P125" s="780"/>
      <c r="Q125" s="621"/>
      <c r="R125" s="621"/>
      <c r="S125" s="621">
        <v>-36219.54</v>
      </c>
    </row>
    <row r="126" spans="1:19">
      <c r="A126" s="796">
        <f t="shared" si="30"/>
        <v>9.609999999999987</v>
      </c>
      <c r="B126" s="621" t="s">
        <v>1384</v>
      </c>
      <c r="C126" s="780">
        <f t="shared" si="24"/>
        <v>-0.03</v>
      </c>
      <c r="D126" s="780">
        <f t="shared" si="25"/>
        <v>-0.03</v>
      </c>
      <c r="E126" s="780"/>
      <c r="F126" s="780"/>
      <c r="G126" s="780">
        <f t="shared" si="26"/>
        <v>0</v>
      </c>
      <c r="H126" s="780"/>
      <c r="I126" s="780">
        <f t="shared" si="27"/>
        <v>-0.03</v>
      </c>
      <c r="J126" s="780">
        <f t="shared" si="28"/>
        <v>0</v>
      </c>
      <c r="K126" s="780">
        <f t="shared" si="29"/>
        <v>0</v>
      </c>
      <c r="L126" s="780"/>
      <c r="M126" s="621">
        <v>-0.03</v>
      </c>
      <c r="N126" s="621"/>
      <c r="O126" s="621"/>
      <c r="P126" s="780"/>
      <c r="Q126" s="621">
        <v>-0.03</v>
      </c>
      <c r="R126" s="621"/>
      <c r="S126" s="621"/>
    </row>
    <row r="127" spans="1:19">
      <c r="A127" s="796">
        <f t="shared" si="30"/>
        <v>9.6199999999999868</v>
      </c>
      <c r="B127" s="621" t="s">
        <v>1385</v>
      </c>
      <c r="C127" s="780">
        <f t="shared" si="24"/>
        <v>237069.30000000002</v>
      </c>
      <c r="D127" s="780">
        <f t="shared" si="25"/>
        <v>159785.17000000001</v>
      </c>
      <c r="E127" s="780"/>
      <c r="F127" s="780"/>
      <c r="G127" s="780">
        <f t="shared" si="26"/>
        <v>198427</v>
      </c>
      <c r="H127" s="780"/>
      <c r="I127" s="780">
        <f t="shared" si="27"/>
        <v>0</v>
      </c>
      <c r="J127" s="780">
        <f t="shared" si="28"/>
        <v>0</v>
      </c>
      <c r="K127" s="780">
        <f t="shared" si="29"/>
        <v>198427.23500000002</v>
      </c>
      <c r="L127" s="780"/>
      <c r="M127" s="621"/>
      <c r="N127" s="621"/>
      <c r="O127" s="621">
        <v>237069.30000000002</v>
      </c>
      <c r="P127" s="780"/>
      <c r="Q127" s="621"/>
      <c r="R127" s="621"/>
      <c r="S127" s="621">
        <v>159785.17000000001</v>
      </c>
    </row>
    <row r="128" spans="1:19">
      <c r="A128" s="796">
        <f t="shared" si="30"/>
        <v>9.6299999999999866</v>
      </c>
      <c r="B128" s="621" t="s">
        <v>1386</v>
      </c>
      <c r="C128" s="780">
        <f t="shared" si="24"/>
        <v>903006.27</v>
      </c>
      <c r="D128" s="780">
        <f t="shared" si="25"/>
        <v>2925385.5300000003</v>
      </c>
      <c r="E128" s="780"/>
      <c r="F128" s="780"/>
      <c r="G128" s="780">
        <f t="shared" si="26"/>
        <v>1914196</v>
      </c>
      <c r="H128" s="780"/>
      <c r="I128" s="780">
        <f t="shared" si="27"/>
        <v>1914195.9000000001</v>
      </c>
      <c r="J128" s="780">
        <f t="shared" si="28"/>
        <v>0</v>
      </c>
      <c r="K128" s="780">
        <f t="shared" si="29"/>
        <v>0</v>
      </c>
      <c r="L128" s="780"/>
      <c r="M128" s="621">
        <v>903006.27</v>
      </c>
      <c r="N128" s="621"/>
      <c r="O128" s="621"/>
      <c r="P128" s="780"/>
      <c r="Q128" s="621">
        <v>2925385.5300000003</v>
      </c>
      <c r="R128" s="621"/>
      <c r="S128" s="621"/>
    </row>
    <row r="129" spans="1:19">
      <c r="A129" s="796">
        <f t="shared" si="30"/>
        <v>9.6399999999999864</v>
      </c>
      <c r="B129" s="621" t="s">
        <v>1387</v>
      </c>
      <c r="C129" s="780">
        <f t="shared" si="24"/>
        <v>40804.14</v>
      </c>
      <c r="D129" s="780">
        <f t="shared" si="25"/>
        <v>423278.36</v>
      </c>
      <c r="E129" s="780"/>
      <c r="F129" s="780"/>
      <c r="G129" s="780">
        <f t="shared" si="26"/>
        <v>232041</v>
      </c>
      <c r="H129" s="780"/>
      <c r="I129" s="780">
        <f t="shared" si="27"/>
        <v>232041.25</v>
      </c>
      <c r="J129" s="780">
        <f t="shared" si="28"/>
        <v>0</v>
      </c>
      <c r="K129" s="780">
        <f t="shared" si="29"/>
        <v>0</v>
      </c>
      <c r="L129" s="780"/>
      <c r="M129" s="621">
        <v>40804.14</v>
      </c>
      <c r="N129" s="621"/>
      <c r="O129" s="621"/>
      <c r="P129" s="780"/>
      <c r="Q129" s="621">
        <v>423278.36</v>
      </c>
      <c r="R129" s="621"/>
      <c r="S129" s="621"/>
    </row>
    <row r="130" spans="1:19">
      <c r="A130" s="796">
        <f t="shared" si="30"/>
        <v>9.6499999999999861</v>
      </c>
      <c r="B130" s="621" t="s">
        <v>1388</v>
      </c>
      <c r="C130" s="780">
        <f t="shared" si="24"/>
        <v>302440.11</v>
      </c>
      <c r="D130" s="780">
        <f t="shared" si="25"/>
        <v>0.02</v>
      </c>
      <c r="E130" s="780"/>
      <c r="F130" s="780"/>
      <c r="G130" s="780">
        <f t="shared" si="26"/>
        <v>151220</v>
      </c>
      <c r="H130" s="780"/>
      <c r="I130" s="780">
        <f t="shared" si="27"/>
        <v>151220.065</v>
      </c>
      <c r="J130" s="780">
        <f t="shared" si="28"/>
        <v>0</v>
      </c>
      <c r="K130" s="780">
        <f t="shared" si="29"/>
        <v>0</v>
      </c>
      <c r="L130" s="780"/>
      <c r="M130" s="621">
        <v>302440.11</v>
      </c>
      <c r="N130" s="621"/>
      <c r="O130" s="621"/>
      <c r="P130" s="780"/>
      <c r="Q130" s="621">
        <v>0.02</v>
      </c>
      <c r="R130" s="621"/>
      <c r="S130" s="621"/>
    </row>
    <row r="131" spans="1:19">
      <c r="A131" s="796">
        <f t="shared" si="30"/>
        <v>9.6599999999999859</v>
      </c>
      <c r="B131" s="621" t="s">
        <v>1389</v>
      </c>
      <c r="C131" s="780">
        <f t="shared" si="24"/>
        <v>92530.97</v>
      </c>
      <c r="D131" s="780">
        <f t="shared" si="25"/>
        <v>48623.64</v>
      </c>
      <c r="E131" s="780"/>
      <c r="F131" s="780"/>
      <c r="G131" s="780">
        <f t="shared" si="26"/>
        <v>70577</v>
      </c>
      <c r="H131" s="780"/>
      <c r="I131" s="780">
        <f t="shared" si="27"/>
        <v>0</v>
      </c>
      <c r="J131" s="780">
        <f t="shared" si="28"/>
        <v>0</v>
      </c>
      <c r="K131" s="780">
        <f t="shared" si="29"/>
        <v>70577.304999999993</v>
      </c>
      <c r="L131" s="780"/>
      <c r="M131" s="621"/>
      <c r="N131" s="621"/>
      <c r="O131" s="621">
        <v>92530.97</v>
      </c>
      <c r="P131" s="780"/>
      <c r="Q131" s="621"/>
      <c r="R131" s="621"/>
      <c r="S131" s="621">
        <v>48623.64</v>
      </c>
    </row>
    <row r="132" spans="1:19">
      <c r="A132" s="796">
        <f t="shared" si="30"/>
        <v>9.6699999999999857</v>
      </c>
      <c r="B132" s="621" t="s">
        <v>1390</v>
      </c>
      <c r="C132" s="780">
        <f t="shared" ref="C132:C171" si="36">SUM(M132:O132)</f>
        <v>0</v>
      </c>
      <c r="D132" s="780">
        <f t="shared" ref="D132:D171" si="37">SUM(Q132:S132)</f>
        <v>0</v>
      </c>
      <c r="E132" s="780"/>
      <c r="F132" s="780"/>
      <c r="G132" s="780">
        <f t="shared" ref="G132:G171" si="38">ROUND(SUM(C132:F132)/2,0)</f>
        <v>0</v>
      </c>
      <c r="H132" s="780"/>
      <c r="I132" s="780">
        <f t="shared" ref="I132:I171" si="39">(M132+Q132)/2</f>
        <v>0</v>
      </c>
      <c r="J132" s="780">
        <f t="shared" ref="J132:J171" si="40">(N132+R132)/2</f>
        <v>0</v>
      </c>
      <c r="K132" s="780">
        <f t="shared" ref="K132:K171" si="41">(O132+S132)/2</f>
        <v>0</v>
      </c>
      <c r="L132" s="780"/>
      <c r="M132" s="621"/>
      <c r="N132" s="621">
        <v>0</v>
      </c>
      <c r="O132" s="621">
        <v>0</v>
      </c>
      <c r="P132" s="780"/>
      <c r="Q132" s="621"/>
      <c r="R132" s="621"/>
      <c r="S132" s="621"/>
    </row>
    <row r="133" spans="1:19">
      <c r="A133" s="796">
        <f t="shared" si="30"/>
        <v>9.6799999999999855</v>
      </c>
      <c r="B133" s="621" t="s">
        <v>1391</v>
      </c>
      <c r="C133" s="780">
        <f t="shared" si="36"/>
        <v>32351532.920000002</v>
      </c>
      <c r="D133" s="780">
        <f t="shared" si="37"/>
        <v>28930833.260000002</v>
      </c>
      <c r="E133" s="780"/>
      <c r="F133" s="780"/>
      <c r="G133" s="780">
        <f t="shared" si="38"/>
        <v>30641183</v>
      </c>
      <c r="H133" s="780"/>
      <c r="I133" s="780">
        <f t="shared" si="39"/>
        <v>30641183.090000004</v>
      </c>
      <c r="J133" s="780">
        <f t="shared" si="40"/>
        <v>0</v>
      </c>
      <c r="K133" s="780">
        <f t="shared" si="41"/>
        <v>0</v>
      </c>
      <c r="L133" s="780"/>
      <c r="M133" s="621">
        <v>32351532.920000002</v>
      </c>
      <c r="N133" s="621"/>
      <c r="O133" s="621"/>
      <c r="P133" s="780"/>
      <c r="Q133" s="621">
        <v>28930833.260000002</v>
      </c>
      <c r="R133" s="621"/>
      <c r="S133" s="621"/>
    </row>
    <row r="134" spans="1:19">
      <c r="A134" s="796">
        <f t="shared" si="30"/>
        <v>9.6899999999999853</v>
      </c>
      <c r="B134" s="621" t="s">
        <v>1392</v>
      </c>
      <c r="C134" s="780">
        <f t="shared" si="36"/>
        <v>409500</v>
      </c>
      <c r="D134" s="780">
        <f t="shared" si="37"/>
        <v>909000</v>
      </c>
      <c r="E134" s="780"/>
      <c r="F134" s="780"/>
      <c r="G134" s="780">
        <f t="shared" si="38"/>
        <v>659250</v>
      </c>
      <c r="H134" s="780"/>
      <c r="I134" s="780">
        <f t="shared" si="39"/>
        <v>659250</v>
      </c>
      <c r="J134" s="780">
        <f t="shared" si="40"/>
        <v>0</v>
      </c>
      <c r="K134" s="780">
        <f t="shared" si="41"/>
        <v>0</v>
      </c>
      <c r="L134" s="780"/>
      <c r="M134" s="621">
        <v>409500</v>
      </c>
      <c r="N134" s="621"/>
      <c r="O134" s="621"/>
      <c r="P134" s="780"/>
      <c r="Q134" s="621">
        <v>909000</v>
      </c>
      <c r="R134" s="621"/>
      <c r="S134" s="621"/>
    </row>
    <row r="135" spans="1:19">
      <c r="A135" s="796">
        <f t="shared" si="30"/>
        <v>9.6999999999999851</v>
      </c>
      <c r="B135" s="621" t="s">
        <v>1393</v>
      </c>
      <c r="C135" s="780">
        <f t="shared" si="36"/>
        <v>29729.040000000001</v>
      </c>
      <c r="D135" s="780">
        <f t="shared" si="37"/>
        <v>1840.8400000000001</v>
      </c>
      <c r="E135" s="780"/>
      <c r="F135" s="780"/>
      <c r="G135" s="780">
        <f t="shared" si="38"/>
        <v>15785</v>
      </c>
      <c r="H135" s="780"/>
      <c r="I135" s="780">
        <f t="shared" si="39"/>
        <v>15784.94</v>
      </c>
      <c r="J135" s="780">
        <f t="shared" si="40"/>
        <v>0</v>
      </c>
      <c r="K135" s="780">
        <f t="shared" si="41"/>
        <v>0</v>
      </c>
      <c r="L135" s="780"/>
      <c r="M135" s="621">
        <v>29729.040000000001</v>
      </c>
      <c r="N135" s="621"/>
      <c r="O135" s="621"/>
      <c r="P135" s="780"/>
      <c r="Q135" s="621">
        <v>1840.8400000000001</v>
      </c>
      <c r="R135" s="621"/>
      <c r="S135" s="621"/>
    </row>
    <row r="136" spans="1:19">
      <c r="A136" s="796">
        <f t="shared" si="30"/>
        <v>9.7099999999999849</v>
      </c>
      <c r="B136" s="621" t="s">
        <v>1394</v>
      </c>
      <c r="C136" s="780">
        <f t="shared" si="36"/>
        <v>2196287.31</v>
      </c>
      <c r="D136" s="780">
        <f t="shared" si="37"/>
        <v>3409932.5300000003</v>
      </c>
      <c r="E136" s="780"/>
      <c r="F136" s="780"/>
      <c r="G136" s="780">
        <f t="shared" si="38"/>
        <v>2803110</v>
      </c>
      <c r="H136" s="780"/>
      <c r="I136" s="780">
        <f t="shared" si="39"/>
        <v>2803109.92</v>
      </c>
      <c r="J136" s="780">
        <f t="shared" si="40"/>
        <v>0</v>
      </c>
      <c r="K136" s="780">
        <f t="shared" si="41"/>
        <v>0</v>
      </c>
      <c r="L136" s="780"/>
      <c r="M136" s="621">
        <v>2196287.31</v>
      </c>
      <c r="N136" s="621"/>
      <c r="O136" s="621"/>
      <c r="P136" s="780"/>
      <c r="Q136" s="621">
        <v>3409932.5300000003</v>
      </c>
      <c r="R136" s="621"/>
      <c r="S136" s="621"/>
    </row>
    <row r="137" spans="1:19">
      <c r="A137" s="796">
        <f t="shared" si="30"/>
        <v>9.7199999999999847</v>
      </c>
      <c r="B137" s="621" t="s">
        <v>1395</v>
      </c>
      <c r="C137" s="780">
        <f t="shared" si="36"/>
        <v>2006530.67</v>
      </c>
      <c r="D137" s="780">
        <f t="shared" si="37"/>
        <v>2006530.67</v>
      </c>
      <c r="E137" s="780"/>
      <c r="F137" s="780"/>
      <c r="G137" s="780">
        <f t="shared" si="38"/>
        <v>2006531</v>
      </c>
      <c r="H137" s="780"/>
      <c r="I137" s="780">
        <f t="shared" si="39"/>
        <v>0</v>
      </c>
      <c r="J137" s="780">
        <f t="shared" si="40"/>
        <v>0</v>
      </c>
      <c r="K137" s="780">
        <f t="shared" si="41"/>
        <v>2006530.67</v>
      </c>
      <c r="L137" s="780"/>
      <c r="M137" s="621"/>
      <c r="N137" s="621"/>
      <c r="O137" s="621">
        <v>2006530.67</v>
      </c>
      <c r="P137" s="780"/>
      <c r="Q137" s="621"/>
      <c r="R137" s="621"/>
      <c r="S137" s="621">
        <v>2006530.67</v>
      </c>
    </row>
    <row r="138" spans="1:19">
      <c r="A138" s="796">
        <f t="shared" si="30"/>
        <v>9.7299999999999844</v>
      </c>
      <c r="B138" s="621" t="s">
        <v>1480</v>
      </c>
      <c r="C138" s="780">
        <f t="shared" ref="C138" si="42">SUM(M138:O138)</f>
        <v>0</v>
      </c>
      <c r="D138" s="780">
        <f t="shared" si="37"/>
        <v>2665561.5</v>
      </c>
      <c r="E138" s="780"/>
      <c r="F138" s="780"/>
      <c r="G138" s="780">
        <f t="shared" ref="G138" si="43">ROUND(SUM(C138:F138)/2,0)</f>
        <v>1332781</v>
      </c>
      <c r="H138" s="780"/>
      <c r="I138" s="780">
        <f t="shared" ref="I138" si="44">(M138+Q138)/2</f>
        <v>1332780.75</v>
      </c>
      <c r="J138" s="780">
        <f t="shared" ref="J138" si="45">(N138+R138)/2</f>
        <v>0</v>
      </c>
      <c r="K138" s="780">
        <f t="shared" ref="K138" si="46">(O138+S138)/2</f>
        <v>0</v>
      </c>
      <c r="L138" s="780"/>
      <c r="M138" s="621"/>
      <c r="N138" s="621"/>
      <c r="O138" s="621"/>
      <c r="P138" s="780"/>
      <c r="Q138" s="621">
        <v>2665561.5</v>
      </c>
      <c r="R138" s="621"/>
      <c r="S138" s="621"/>
    </row>
    <row r="139" spans="1:19">
      <c r="A139" s="796">
        <f t="shared" si="30"/>
        <v>9.7399999999999842</v>
      </c>
      <c r="B139" s="621" t="s">
        <v>1396</v>
      </c>
      <c r="C139" s="780">
        <f t="shared" si="36"/>
        <v>153784.35</v>
      </c>
      <c r="D139" s="780">
        <f t="shared" si="37"/>
        <v>607417.26</v>
      </c>
      <c r="E139" s="780"/>
      <c r="F139" s="780"/>
      <c r="G139" s="780">
        <f t="shared" si="38"/>
        <v>380601</v>
      </c>
      <c r="H139" s="780"/>
      <c r="I139" s="780">
        <f t="shared" si="39"/>
        <v>380600.80499999999</v>
      </c>
      <c r="J139" s="780">
        <f t="shared" si="40"/>
        <v>0</v>
      </c>
      <c r="K139" s="780">
        <f t="shared" si="41"/>
        <v>0</v>
      </c>
      <c r="L139" s="780"/>
      <c r="M139" s="621">
        <v>153784.35</v>
      </c>
      <c r="N139" s="621"/>
      <c r="O139" s="621"/>
      <c r="P139" s="780"/>
      <c r="Q139" s="621">
        <v>607417.26</v>
      </c>
      <c r="R139" s="621"/>
      <c r="S139" s="621"/>
    </row>
    <row r="140" spans="1:19">
      <c r="A140" s="796">
        <f t="shared" si="30"/>
        <v>9.749999999999984</v>
      </c>
      <c r="B140" s="621" t="s">
        <v>1397</v>
      </c>
      <c r="C140" s="780">
        <f t="shared" si="36"/>
        <v>-63355.33</v>
      </c>
      <c r="D140" s="780">
        <f t="shared" si="37"/>
        <v>-267833.01</v>
      </c>
      <c r="E140" s="780"/>
      <c r="F140" s="780"/>
      <c r="G140" s="780">
        <f t="shared" si="38"/>
        <v>-165594</v>
      </c>
      <c r="H140" s="780"/>
      <c r="I140" s="780">
        <f t="shared" si="39"/>
        <v>-165594.17000000001</v>
      </c>
      <c r="J140" s="780">
        <f t="shared" si="40"/>
        <v>0</v>
      </c>
      <c r="K140" s="780">
        <f t="shared" si="41"/>
        <v>0</v>
      </c>
      <c r="L140" s="780"/>
      <c r="M140" s="621">
        <v>-63355.33</v>
      </c>
      <c r="N140" s="621"/>
      <c r="O140" s="621"/>
      <c r="P140" s="780"/>
      <c r="Q140" s="621">
        <v>-267833.01</v>
      </c>
      <c r="R140" s="621"/>
      <c r="S140" s="621"/>
    </row>
    <row r="141" spans="1:19">
      <c r="A141" s="796">
        <f t="shared" si="30"/>
        <v>9.7599999999999838</v>
      </c>
      <c r="B141" s="621" t="s">
        <v>1398</v>
      </c>
      <c r="C141" s="780">
        <f t="shared" si="36"/>
        <v>231559.40000000002</v>
      </c>
      <c r="D141" s="780">
        <f t="shared" si="37"/>
        <v>223840.75</v>
      </c>
      <c r="E141" s="780"/>
      <c r="F141" s="780"/>
      <c r="G141" s="780">
        <f t="shared" si="38"/>
        <v>227700</v>
      </c>
      <c r="H141" s="780"/>
      <c r="I141" s="780">
        <f t="shared" si="39"/>
        <v>0</v>
      </c>
      <c r="J141" s="780">
        <f t="shared" si="40"/>
        <v>78807.115000000005</v>
      </c>
      <c r="K141" s="780">
        <f t="shared" si="41"/>
        <v>148892.96000000002</v>
      </c>
      <c r="L141" s="780"/>
      <c r="M141" s="621"/>
      <c r="N141" s="621">
        <v>80142.83</v>
      </c>
      <c r="O141" s="621">
        <v>151416.57</v>
      </c>
      <c r="P141" s="780"/>
      <c r="Q141" s="621"/>
      <c r="R141" s="621">
        <v>77471.400000000009</v>
      </c>
      <c r="S141" s="621">
        <v>146369.35</v>
      </c>
    </row>
    <row r="142" spans="1:19">
      <c r="A142" s="796">
        <f t="shared" si="30"/>
        <v>9.7699999999999836</v>
      </c>
      <c r="B142" s="621" t="s">
        <v>1399</v>
      </c>
      <c r="C142" s="1186">
        <f t="shared" si="36"/>
        <v>59836990.729999997</v>
      </c>
      <c r="D142" s="1186">
        <f t="shared" si="37"/>
        <v>53895479.380000003</v>
      </c>
      <c r="E142" s="1186"/>
      <c r="F142" s="1186"/>
      <c r="G142" s="1186">
        <f t="shared" si="38"/>
        <v>56866235</v>
      </c>
      <c r="H142" s="1186"/>
      <c r="I142" s="1186">
        <f t="shared" si="39"/>
        <v>56866235.055</v>
      </c>
      <c r="J142" s="1186">
        <f t="shared" si="40"/>
        <v>0</v>
      </c>
      <c r="K142" s="1186">
        <f t="shared" si="41"/>
        <v>0</v>
      </c>
      <c r="L142" s="1186"/>
      <c r="M142" s="621">
        <v>59836990.729999997</v>
      </c>
      <c r="N142" s="621"/>
      <c r="O142" s="621"/>
      <c r="P142" s="1186"/>
      <c r="Q142" s="621">
        <v>53895479.380000003</v>
      </c>
      <c r="R142" s="621"/>
      <c r="S142" s="621"/>
    </row>
    <row r="143" spans="1:19">
      <c r="A143" s="796">
        <f t="shared" si="30"/>
        <v>9.7799999999999834</v>
      </c>
      <c r="B143" s="621" t="s">
        <v>1400</v>
      </c>
      <c r="C143" s="780">
        <f t="shared" si="36"/>
        <v>8386430.3799999999</v>
      </c>
      <c r="D143" s="780">
        <f t="shared" si="37"/>
        <v>7933729.8799999999</v>
      </c>
      <c r="E143" s="780"/>
      <c r="F143" s="780"/>
      <c r="G143" s="780">
        <f t="shared" si="38"/>
        <v>8160080</v>
      </c>
      <c r="H143" s="780"/>
      <c r="I143" s="780">
        <f t="shared" si="39"/>
        <v>8160080.1299999999</v>
      </c>
      <c r="J143" s="780">
        <f t="shared" si="40"/>
        <v>0</v>
      </c>
      <c r="K143" s="780">
        <f t="shared" si="41"/>
        <v>0</v>
      </c>
      <c r="L143" s="780"/>
      <c r="M143" s="621">
        <v>8386430.3799999999</v>
      </c>
      <c r="N143" s="621"/>
      <c r="O143" s="621"/>
      <c r="P143" s="780"/>
      <c r="Q143" s="621">
        <v>7933729.8799999999</v>
      </c>
      <c r="R143" s="621"/>
      <c r="S143" s="621"/>
    </row>
    <row r="144" spans="1:19">
      <c r="A144" s="796">
        <f t="shared" si="30"/>
        <v>9.7899999999999832</v>
      </c>
      <c r="B144" s="621" t="s">
        <v>1401</v>
      </c>
      <c r="C144" s="780">
        <f t="shared" si="36"/>
        <v>-0.27</v>
      </c>
      <c r="D144" s="780">
        <f t="shared" si="37"/>
        <v>-0.27</v>
      </c>
      <c r="E144" s="780"/>
      <c r="F144" s="780"/>
      <c r="G144" s="780">
        <f t="shared" si="38"/>
        <v>0</v>
      </c>
      <c r="H144" s="780"/>
      <c r="I144" s="780">
        <f t="shared" si="39"/>
        <v>-0.27</v>
      </c>
      <c r="J144" s="780">
        <f t="shared" si="40"/>
        <v>0</v>
      </c>
      <c r="K144" s="780">
        <f t="shared" si="41"/>
        <v>0</v>
      </c>
      <c r="L144" s="780"/>
      <c r="M144" s="621">
        <v>-0.27</v>
      </c>
      <c r="N144" s="621"/>
      <c r="O144" s="621"/>
      <c r="P144" s="780"/>
      <c r="Q144" s="621">
        <v>-0.27</v>
      </c>
      <c r="R144" s="621"/>
      <c r="S144" s="621"/>
    </row>
    <row r="145" spans="1:19">
      <c r="A145" s="796">
        <f t="shared" si="30"/>
        <v>9.7999999999999829</v>
      </c>
      <c r="B145" s="621" t="s">
        <v>1402</v>
      </c>
      <c r="C145" s="780">
        <f t="shared" si="36"/>
        <v>1344846.9100000001</v>
      </c>
      <c r="D145" s="780">
        <f t="shared" si="37"/>
        <v>1252396.71</v>
      </c>
      <c r="E145" s="780"/>
      <c r="F145" s="780"/>
      <c r="G145" s="780">
        <f t="shared" si="38"/>
        <v>1298622</v>
      </c>
      <c r="H145" s="780"/>
      <c r="I145" s="780">
        <f t="shared" si="39"/>
        <v>1298621.81</v>
      </c>
      <c r="J145" s="780">
        <f t="shared" si="40"/>
        <v>0</v>
      </c>
      <c r="K145" s="780">
        <f t="shared" si="41"/>
        <v>0</v>
      </c>
      <c r="L145" s="780"/>
      <c r="M145" s="621">
        <v>1344846.9100000001</v>
      </c>
      <c r="N145" s="621"/>
      <c r="O145" s="621"/>
      <c r="P145" s="780"/>
      <c r="Q145" s="621">
        <v>1252396.71</v>
      </c>
      <c r="R145" s="621"/>
      <c r="S145" s="621"/>
    </row>
    <row r="146" spans="1:19">
      <c r="A146" s="796">
        <f t="shared" si="30"/>
        <v>9.8099999999999827</v>
      </c>
      <c r="B146" s="621" t="s">
        <v>1403</v>
      </c>
      <c r="C146" s="780">
        <f t="shared" si="36"/>
        <v>3660522.37</v>
      </c>
      <c r="D146" s="780">
        <f t="shared" si="37"/>
        <v>3427755.9</v>
      </c>
      <c r="E146" s="780"/>
      <c r="F146" s="780"/>
      <c r="G146" s="780">
        <f t="shared" si="38"/>
        <v>3544139</v>
      </c>
      <c r="H146" s="780"/>
      <c r="I146" s="780">
        <f t="shared" si="39"/>
        <v>3544139.1349999998</v>
      </c>
      <c r="J146" s="780">
        <f t="shared" si="40"/>
        <v>0</v>
      </c>
      <c r="K146" s="780">
        <f t="shared" si="41"/>
        <v>0</v>
      </c>
      <c r="L146" s="780"/>
      <c r="M146" s="621">
        <v>3660522.37</v>
      </c>
      <c r="N146" s="621"/>
      <c r="O146" s="621"/>
      <c r="P146" s="780"/>
      <c r="Q146" s="621">
        <v>3427755.9</v>
      </c>
      <c r="R146" s="621"/>
      <c r="S146" s="621"/>
    </row>
    <row r="147" spans="1:19">
      <c r="A147" s="796">
        <f t="shared" si="30"/>
        <v>9.8199999999999825</v>
      </c>
      <c r="B147" s="621" t="s">
        <v>1404</v>
      </c>
      <c r="C147" s="780">
        <f t="shared" si="36"/>
        <v>895232.06</v>
      </c>
      <c r="D147" s="780">
        <f t="shared" si="37"/>
        <v>866919.28</v>
      </c>
      <c r="E147" s="780"/>
      <c r="F147" s="780"/>
      <c r="G147" s="780">
        <f t="shared" si="38"/>
        <v>881076</v>
      </c>
      <c r="H147" s="780"/>
      <c r="I147" s="780">
        <f t="shared" si="39"/>
        <v>881075.67</v>
      </c>
      <c r="J147" s="780">
        <f t="shared" si="40"/>
        <v>0</v>
      </c>
      <c r="K147" s="780">
        <f t="shared" si="41"/>
        <v>0</v>
      </c>
      <c r="L147" s="780"/>
      <c r="M147" s="621">
        <v>895232.06</v>
      </c>
      <c r="N147" s="621"/>
      <c r="O147" s="621"/>
      <c r="P147" s="780"/>
      <c r="Q147" s="621">
        <v>866919.28</v>
      </c>
      <c r="R147" s="621"/>
      <c r="S147" s="621"/>
    </row>
    <row r="148" spans="1:19">
      <c r="A148" s="796">
        <f t="shared" si="30"/>
        <v>9.8299999999999823</v>
      </c>
      <c r="B148" s="621" t="s">
        <v>1405</v>
      </c>
      <c r="C148" s="780">
        <f t="shared" si="36"/>
        <v>61001.599999999999</v>
      </c>
      <c r="D148" s="780">
        <f t="shared" si="37"/>
        <v>53373.56</v>
      </c>
      <c r="E148" s="780"/>
      <c r="F148" s="780"/>
      <c r="G148" s="780">
        <f t="shared" si="38"/>
        <v>57188</v>
      </c>
      <c r="H148" s="780"/>
      <c r="I148" s="780">
        <f t="shared" si="39"/>
        <v>57187.58</v>
      </c>
      <c r="J148" s="780">
        <f t="shared" si="40"/>
        <v>0</v>
      </c>
      <c r="K148" s="780">
        <f t="shared" si="41"/>
        <v>0</v>
      </c>
      <c r="L148" s="780"/>
      <c r="M148" s="621">
        <v>61001.599999999999</v>
      </c>
      <c r="N148" s="621"/>
      <c r="O148" s="621"/>
      <c r="P148" s="780"/>
      <c r="Q148" s="621">
        <v>53373.56</v>
      </c>
      <c r="R148" s="621"/>
      <c r="S148" s="621"/>
    </row>
    <row r="149" spans="1:19">
      <c r="A149" s="796">
        <f t="shared" si="30"/>
        <v>9.8399999999999821</v>
      </c>
      <c r="B149" s="621" t="s">
        <v>1406</v>
      </c>
      <c r="C149" s="780">
        <f t="shared" si="36"/>
        <v>14078036.959999999</v>
      </c>
      <c r="D149" s="780">
        <f t="shared" si="37"/>
        <v>13333504.83</v>
      </c>
      <c r="E149" s="780"/>
      <c r="F149" s="780"/>
      <c r="G149" s="780">
        <f t="shared" si="38"/>
        <v>13705771</v>
      </c>
      <c r="H149" s="780"/>
      <c r="I149" s="780">
        <f t="shared" si="39"/>
        <v>239467.81</v>
      </c>
      <c r="J149" s="780">
        <f t="shared" si="40"/>
        <v>0.21</v>
      </c>
      <c r="K149" s="780">
        <f t="shared" si="41"/>
        <v>13466302.875</v>
      </c>
      <c r="L149" s="780"/>
      <c r="M149" s="621">
        <v>258264.99000000002</v>
      </c>
      <c r="N149" s="621">
        <v>0.21</v>
      </c>
      <c r="O149" s="621">
        <v>13819771.76</v>
      </c>
      <c r="P149" s="780"/>
      <c r="Q149" s="621">
        <v>220670.63</v>
      </c>
      <c r="R149" s="621">
        <v>0.21</v>
      </c>
      <c r="S149" s="621">
        <v>13112833.99</v>
      </c>
    </row>
    <row r="150" spans="1:19">
      <c r="A150" s="796">
        <f t="shared" si="30"/>
        <v>9.8499999999999819</v>
      </c>
      <c r="B150" s="621" t="s">
        <v>1407</v>
      </c>
      <c r="C150" s="780">
        <f t="shared" si="36"/>
        <v>0.42</v>
      </c>
      <c r="D150" s="780">
        <f t="shared" si="37"/>
        <v>0.42</v>
      </c>
      <c r="E150" s="780"/>
      <c r="F150" s="780"/>
      <c r="G150" s="780">
        <f t="shared" si="38"/>
        <v>0</v>
      </c>
      <c r="H150" s="780"/>
      <c r="I150" s="780">
        <f t="shared" si="39"/>
        <v>0</v>
      </c>
      <c r="J150" s="780">
        <f t="shared" si="40"/>
        <v>0.42</v>
      </c>
      <c r="K150" s="780">
        <f t="shared" si="41"/>
        <v>0</v>
      </c>
      <c r="L150" s="780"/>
      <c r="M150" s="621">
        <v>0</v>
      </c>
      <c r="N150" s="621">
        <v>0.42</v>
      </c>
      <c r="O150" s="621">
        <v>0</v>
      </c>
      <c r="P150" s="780"/>
      <c r="Q150" s="621"/>
      <c r="R150" s="621">
        <v>0.42</v>
      </c>
      <c r="S150" s="621"/>
    </row>
    <row r="151" spans="1:19">
      <c r="A151" s="796">
        <f t="shared" si="30"/>
        <v>9.8599999999999817</v>
      </c>
      <c r="B151" s="621" t="s">
        <v>1481</v>
      </c>
      <c r="C151" s="780">
        <f t="shared" ref="C151" si="47">SUM(M151:O151)</f>
        <v>0</v>
      </c>
      <c r="D151" s="780">
        <f t="shared" si="37"/>
        <v>-8348.5499999999993</v>
      </c>
      <c r="E151" s="780"/>
      <c r="F151" s="780"/>
      <c r="G151" s="780">
        <f t="shared" ref="G151" si="48">ROUND(SUM(C151:F151)/2,0)</f>
        <v>-4174</v>
      </c>
      <c r="H151" s="780"/>
      <c r="I151" s="780">
        <f t="shared" ref="I151" si="49">(M151+Q151)/2</f>
        <v>-4174.2749999999996</v>
      </c>
      <c r="J151" s="780">
        <f t="shared" ref="J151" si="50">(N151+R151)/2</f>
        <v>0</v>
      </c>
      <c r="K151" s="780">
        <f t="shared" ref="K151" si="51">(O151+S151)/2</f>
        <v>0</v>
      </c>
      <c r="L151" s="780"/>
      <c r="M151" s="621"/>
      <c r="N151" s="621"/>
      <c r="O151" s="621"/>
      <c r="P151" s="780"/>
      <c r="Q151" s="621">
        <v>-8348.5499999999993</v>
      </c>
      <c r="R151" s="621"/>
      <c r="S151" s="621"/>
    </row>
    <row r="152" spans="1:19">
      <c r="A152" s="796">
        <f t="shared" si="30"/>
        <v>9.8699999999999815</v>
      </c>
      <c r="B152" s="621" t="s">
        <v>1408</v>
      </c>
      <c r="C152" s="780">
        <f t="shared" si="36"/>
        <v>2782055.63</v>
      </c>
      <c r="D152" s="780">
        <f t="shared" si="37"/>
        <v>2740981.73</v>
      </c>
      <c r="E152" s="780"/>
      <c r="F152" s="780"/>
      <c r="G152" s="780">
        <f t="shared" si="38"/>
        <v>2761519</v>
      </c>
      <c r="H152" s="780"/>
      <c r="I152" s="780">
        <f t="shared" si="39"/>
        <v>1086952.4099999999</v>
      </c>
      <c r="J152" s="780">
        <f t="shared" si="40"/>
        <v>25199.075000000001</v>
      </c>
      <c r="K152" s="780">
        <f t="shared" si="41"/>
        <v>1649367.1950000001</v>
      </c>
      <c r="L152" s="780"/>
      <c r="M152" s="621">
        <v>1201554.6599999999</v>
      </c>
      <c r="N152" s="621">
        <v>32814.620000000003</v>
      </c>
      <c r="O152" s="621">
        <v>1547686.35</v>
      </c>
      <c r="P152" s="780"/>
      <c r="Q152" s="621">
        <v>972350.16</v>
      </c>
      <c r="R152" s="621">
        <v>17583.53</v>
      </c>
      <c r="S152" s="621">
        <v>1751048.04</v>
      </c>
    </row>
    <row r="153" spans="1:19">
      <c r="A153" s="796">
        <f t="shared" si="30"/>
        <v>9.8799999999999812</v>
      </c>
      <c r="B153" s="621" t="s">
        <v>1409</v>
      </c>
      <c r="C153" s="780">
        <f t="shared" si="36"/>
        <v>18175.5</v>
      </c>
      <c r="D153" s="780">
        <f t="shared" si="37"/>
        <v>0</v>
      </c>
      <c r="E153" s="780"/>
      <c r="F153" s="780"/>
      <c r="G153" s="780">
        <f t="shared" si="38"/>
        <v>9088</v>
      </c>
      <c r="H153" s="780"/>
      <c r="I153" s="780">
        <f t="shared" si="39"/>
        <v>9087.75</v>
      </c>
      <c r="J153" s="780">
        <f t="shared" si="40"/>
        <v>0</v>
      </c>
      <c r="K153" s="780">
        <f t="shared" si="41"/>
        <v>0</v>
      </c>
      <c r="L153" s="780"/>
      <c r="M153" s="621">
        <v>18175.5</v>
      </c>
      <c r="N153" s="621"/>
      <c r="O153" s="621"/>
      <c r="P153" s="780"/>
      <c r="Q153" s="621">
        <v>0</v>
      </c>
      <c r="R153" s="621"/>
      <c r="S153" s="621"/>
    </row>
    <row r="154" spans="1:19">
      <c r="A154" s="796">
        <f t="shared" si="30"/>
        <v>9.889999999999981</v>
      </c>
      <c r="B154" s="621" t="s">
        <v>1410</v>
      </c>
      <c r="C154" s="780">
        <f t="shared" si="36"/>
        <v>205886.77000000002</v>
      </c>
      <c r="D154" s="780">
        <f t="shared" si="37"/>
        <v>205886.77000000002</v>
      </c>
      <c r="E154" s="780"/>
      <c r="F154" s="780"/>
      <c r="G154" s="780">
        <f t="shared" si="38"/>
        <v>205887</v>
      </c>
      <c r="H154" s="780"/>
      <c r="I154" s="780">
        <f t="shared" si="39"/>
        <v>205886.77000000002</v>
      </c>
      <c r="J154" s="780">
        <f t="shared" si="40"/>
        <v>0</v>
      </c>
      <c r="K154" s="780">
        <f t="shared" si="41"/>
        <v>0</v>
      </c>
      <c r="L154" s="780"/>
      <c r="M154" s="621">
        <v>205886.77000000002</v>
      </c>
      <c r="N154" s="621"/>
      <c r="O154" s="621"/>
      <c r="P154" s="780"/>
      <c r="Q154" s="621">
        <v>205886.77000000002</v>
      </c>
      <c r="R154" s="621"/>
      <c r="S154" s="621"/>
    </row>
    <row r="155" spans="1:19">
      <c r="A155" s="796">
        <f t="shared" si="30"/>
        <v>9.8999999999999808</v>
      </c>
      <c r="B155" s="621" t="s">
        <v>1482</v>
      </c>
      <c r="C155" s="780">
        <f t="shared" ref="C155:C168" si="52">SUM(M155:O155)</f>
        <v>0</v>
      </c>
      <c r="D155" s="780">
        <f t="shared" si="37"/>
        <v>2156.16</v>
      </c>
      <c r="E155" s="780"/>
      <c r="F155" s="780"/>
      <c r="G155" s="780">
        <f t="shared" ref="G155:G168" si="53">ROUND(SUM(C155:F155)/2,0)</f>
        <v>1078</v>
      </c>
      <c r="H155" s="780"/>
      <c r="I155" s="780">
        <f t="shared" ref="I155:I168" si="54">(M155+Q155)/2</f>
        <v>1078.08</v>
      </c>
      <c r="J155" s="780">
        <f t="shared" ref="J155:J168" si="55">(N155+R155)/2</f>
        <v>0</v>
      </c>
      <c r="K155" s="780">
        <f t="shared" ref="K155:K168" si="56">(O155+S155)/2</f>
        <v>0</v>
      </c>
      <c r="L155" s="780"/>
      <c r="M155" s="621"/>
      <c r="N155" s="621"/>
      <c r="O155" s="621"/>
      <c r="P155" s="780"/>
      <c r="Q155" s="621">
        <v>2156.16</v>
      </c>
      <c r="R155" s="621"/>
      <c r="S155" s="621"/>
    </row>
    <row r="156" spans="1:19">
      <c r="A156" s="796">
        <f t="shared" si="30"/>
        <v>9.9099999999999806</v>
      </c>
      <c r="B156" s="621" t="s">
        <v>1483</v>
      </c>
      <c r="C156" s="780">
        <f t="shared" si="52"/>
        <v>0</v>
      </c>
      <c r="D156" s="780">
        <f t="shared" si="37"/>
        <v>-309027.67000000004</v>
      </c>
      <c r="E156" s="780"/>
      <c r="F156" s="780"/>
      <c r="G156" s="780">
        <f t="shared" si="53"/>
        <v>-154514</v>
      </c>
      <c r="H156" s="780"/>
      <c r="I156" s="780">
        <f t="shared" si="54"/>
        <v>-44483.48</v>
      </c>
      <c r="J156" s="780">
        <f t="shared" si="55"/>
        <v>-19663.830000000002</v>
      </c>
      <c r="K156" s="780">
        <f t="shared" si="56"/>
        <v>-90366.525000000009</v>
      </c>
      <c r="L156" s="780"/>
      <c r="M156" s="621"/>
      <c r="N156" s="621"/>
      <c r="O156" s="621"/>
      <c r="P156" s="780"/>
      <c r="Q156" s="621">
        <v>-88966.96</v>
      </c>
      <c r="R156" s="621">
        <v>-39327.660000000003</v>
      </c>
      <c r="S156" s="621">
        <v>-180733.05000000002</v>
      </c>
    </row>
    <row r="157" spans="1:19">
      <c r="A157" s="796">
        <f t="shared" si="30"/>
        <v>9.9199999999999804</v>
      </c>
      <c r="B157" s="621" t="s">
        <v>1484</v>
      </c>
      <c r="C157" s="780">
        <f t="shared" si="52"/>
        <v>0</v>
      </c>
      <c r="D157" s="780">
        <f t="shared" si="37"/>
        <v>3531628.3200000003</v>
      </c>
      <c r="E157" s="780"/>
      <c r="F157" s="780"/>
      <c r="G157" s="780">
        <f t="shared" si="53"/>
        <v>1765814</v>
      </c>
      <c r="H157" s="780"/>
      <c r="I157" s="780">
        <f t="shared" si="54"/>
        <v>1765814.1600000001</v>
      </c>
      <c r="J157" s="780">
        <f t="shared" si="55"/>
        <v>0</v>
      </c>
      <c r="K157" s="780">
        <f t="shared" si="56"/>
        <v>0</v>
      </c>
      <c r="L157" s="780"/>
      <c r="M157" s="621"/>
      <c r="N157" s="621"/>
      <c r="O157" s="621"/>
      <c r="P157" s="780"/>
      <c r="Q157" s="621">
        <v>3531628.3200000003</v>
      </c>
      <c r="R157" s="621"/>
      <c r="S157" s="621"/>
    </row>
    <row r="158" spans="1:19">
      <c r="A158" s="796">
        <f t="shared" si="30"/>
        <v>9.9299999999999802</v>
      </c>
      <c r="B158" s="621" t="s">
        <v>1485</v>
      </c>
      <c r="C158" s="780">
        <f t="shared" si="52"/>
        <v>0</v>
      </c>
      <c r="D158" s="780">
        <f t="shared" si="37"/>
        <v>956189.74</v>
      </c>
      <c r="E158" s="780"/>
      <c r="F158" s="780"/>
      <c r="G158" s="780">
        <f t="shared" si="53"/>
        <v>478095</v>
      </c>
      <c r="H158" s="780"/>
      <c r="I158" s="780">
        <f t="shared" si="54"/>
        <v>103035.505</v>
      </c>
      <c r="J158" s="780">
        <f t="shared" si="55"/>
        <v>12273.155000000001</v>
      </c>
      <c r="K158" s="780">
        <f t="shared" si="56"/>
        <v>362786.21</v>
      </c>
      <c r="L158" s="780"/>
      <c r="M158" s="621"/>
      <c r="N158" s="621"/>
      <c r="O158" s="621"/>
      <c r="P158" s="780"/>
      <c r="Q158" s="621">
        <v>206071.01</v>
      </c>
      <c r="R158" s="621">
        <v>24546.31</v>
      </c>
      <c r="S158" s="621">
        <v>725572.42</v>
      </c>
    </row>
    <row r="159" spans="1:19">
      <c r="A159" s="796">
        <f t="shared" si="30"/>
        <v>9.93999999999998</v>
      </c>
      <c r="B159" s="621" t="s">
        <v>1486</v>
      </c>
      <c r="C159" s="780">
        <f t="shared" si="52"/>
        <v>0</v>
      </c>
      <c r="D159" s="780">
        <f t="shared" si="37"/>
        <v>49684.22</v>
      </c>
      <c r="E159" s="780"/>
      <c r="F159" s="780"/>
      <c r="G159" s="780">
        <f t="shared" si="53"/>
        <v>24842</v>
      </c>
      <c r="H159" s="780"/>
      <c r="I159" s="780">
        <f t="shared" si="54"/>
        <v>7802.64</v>
      </c>
      <c r="J159" s="780">
        <f t="shared" si="55"/>
        <v>441.43</v>
      </c>
      <c r="K159" s="780">
        <f t="shared" si="56"/>
        <v>16598.04</v>
      </c>
      <c r="L159" s="780"/>
      <c r="M159" s="621"/>
      <c r="N159" s="621"/>
      <c r="O159" s="621"/>
      <c r="P159" s="780"/>
      <c r="Q159" s="621">
        <v>15605.28</v>
      </c>
      <c r="R159" s="621">
        <v>882.86</v>
      </c>
      <c r="S159" s="621">
        <v>33196.080000000002</v>
      </c>
    </row>
    <row r="160" spans="1:19">
      <c r="A160" s="796">
        <f t="shared" si="30"/>
        <v>9.9499999999999797</v>
      </c>
      <c r="B160" s="621" t="s">
        <v>1487</v>
      </c>
      <c r="C160" s="780">
        <f t="shared" si="52"/>
        <v>0</v>
      </c>
      <c r="D160" s="780">
        <f t="shared" si="37"/>
        <v>128069.89</v>
      </c>
      <c r="E160" s="780"/>
      <c r="F160" s="780"/>
      <c r="G160" s="780">
        <f t="shared" si="53"/>
        <v>64035</v>
      </c>
      <c r="H160" s="780"/>
      <c r="I160" s="780">
        <f t="shared" si="54"/>
        <v>64034.945</v>
      </c>
      <c r="J160" s="780">
        <f t="shared" si="55"/>
        <v>0</v>
      </c>
      <c r="K160" s="780">
        <f t="shared" si="56"/>
        <v>0</v>
      </c>
      <c r="L160" s="780"/>
      <c r="M160" s="621"/>
      <c r="N160" s="621"/>
      <c r="O160" s="621"/>
      <c r="P160" s="780"/>
      <c r="Q160" s="621">
        <v>128069.89</v>
      </c>
      <c r="R160" s="621"/>
      <c r="S160" s="621"/>
    </row>
    <row r="161" spans="1:19">
      <c r="A161" s="796">
        <f t="shared" si="30"/>
        <v>9.9599999999999795</v>
      </c>
      <c r="B161" s="621" t="s">
        <v>1488</v>
      </c>
      <c r="C161" s="780">
        <f t="shared" si="52"/>
        <v>0</v>
      </c>
      <c r="D161" s="780">
        <f t="shared" si="37"/>
        <v>1922504.22</v>
      </c>
      <c r="E161" s="780"/>
      <c r="F161" s="780"/>
      <c r="G161" s="780">
        <f t="shared" si="53"/>
        <v>961252</v>
      </c>
      <c r="H161" s="780"/>
      <c r="I161" s="780">
        <f t="shared" si="54"/>
        <v>961252.11</v>
      </c>
      <c r="J161" s="780">
        <f t="shared" si="55"/>
        <v>0</v>
      </c>
      <c r="K161" s="780">
        <f t="shared" si="56"/>
        <v>0</v>
      </c>
      <c r="L161" s="780"/>
      <c r="M161" s="621"/>
      <c r="N161" s="621"/>
      <c r="O161" s="621"/>
      <c r="P161" s="780"/>
      <c r="Q161" s="621">
        <v>1922504.22</v>
      </c>
      <c r="R161" s="621"/>
      <c r="S161" s="621"/>
    </row>
    <row r="162" spans="1:19">
      <c r="A162" s="796">
        <f t="shared" si="30"/>
        <v>9.9699999999999793</v>
      </c>
      <c r="B162" s="621" t="s">
        <v>1493</v>
      </c>
      <c r="C162" s="780">
        <f t="shared" ref="C162:C165" si="57">SUM(M162:O162)</f>
        <v>0</v>
      </c>
      <c r="D162" s="780">
        <f t="shared" si="37"/>
        <v>43621.21</v>
      </c>
      <c r="E162" s="780"/>
      <c r="F162" s="780"/>
      <c r="G162" s="780">
        <f t="shared" ref="G162:G165" si="58">ROUND(SUM(C162:F162)/2,0)</f>
        <v>21811</v>
      </c>
      <c r="H162" s="780"/>
      <c r="I162" s="780">
        <f t="shared" ref="I162:I165" si="59">(M162+Q162)/2</f>
        <v>0</v>
      </c>
      <c r="J162" s="780">
        <f t="shared" ref="J162:J165" si="60">(N162+R162)/2</f>
        <v>0</v>
      </c>
      <c r="K162" s="780">
        <f t="shared" ref="K162:K165" si="61">(O162+S162)/2</f>
        <v>21810.605</v>
      </c>
      <c r="L162" s="780"/>
      <c r="M162" s="621"/>
      <c r="N162" s="621"/>
      <c r="O162" s="621"/>
      <c r="P162" s="780"/>
      <c r="Q162" s="621"/>
      <c r="R162" s="621"/>
      <c r="S162" s="621">
        <v>43621.21</v>
      </c>
    </row>
    <row r="163" spans="1:19">
      <c r="A163" s="796">
        <f t="shared" si="30"/>
        <v>9.9799999999999791</v>
      </c>
      <c r="B163" s="621" t="s">
        <v>1494</v>
      </c>
      <c r="C163" s="780">
        <f t="shared" si="57"/>
        <v>0</v>
      </c>
      <c r="D163" s="780">
        <f t="shared" si="37"/>
        <v>68312.12</v>
      </c>
      <c r="E163" s="780"/>
      <c r="F163" s="780"/>
      <c r="G163" s="780">
        <f t="shared" si="58"/>
        <v>34156</v>
      </c>
      <c r="H163" s="780"/>
      <c r="I163" s="780">
        <f t="shared" si="59"/>
        <v>0</v>
      </c>
      <c r="J163" s="780">
        <f t="shared" si="60"/>
        <v>0</v>
      </c>
      <c r="K163" s="780">
        <f t="shared" si="61"/>
        <v>34156.06</v>
      </c>
      <c r="L163" s="780"/>
      <c r="M163" s="621"/>
      <c r="N163" s="621"/>
      <c r="O163" s="621"/>
      <c r="P163" s="780"/>
      <c r="Q163" s="621"/>
      <c r="R163" s="621"/>
      <c r="S163" s="621">
        <v>68312.12</v>
      </c>
    </row>
    <row r="164" spans="1:19">
      <c r="A164" s="796">
        <f t="shared" si="30"/>
        <v>9.9899999999999789</v>
      </c>
      <c r="B164" s="621" t="s">
        <v>1495</v>
      </c>
      <c r="C164" s="780">
        <f t="shared" si="57"/>
        <v>0</v>
      </c>
      <c r="D164" s="780">
        <f t="shared" si="37"/>
        <v>16766.37</v>
      </c>
      <c r="E164" s="780"/>
      <c r="F164" s="780"/>
      <c r="G164" s="780">
        <f t="shared" si="58"/>
        <v>8383</v>
      </c>
      <c r="H164" s="780"/>
      <c r="I164" s="780">
        <f t="shared" si="59"/>
        <v>0</v>
      </c>
      <c r="J164" s="780">
        <f t="shared" si="60"/>
        <v>0</v>
      </c>
      <c r="K164" s="780">
        <f t="shared" si="61"/>
        <v>8383.1849999999995</v>
      </c>
      <c r="L164" s="780"/>
      <c r="M164" s="621"/>
      <c r="N164" s="621"/>
      <c r="O164" s="621"/>
      <c r="P164" s="780"/>
      <c r="Q164" s="621"/>
      <c r="R164" s="621"/>
      <c r="S164" s="621">
        <v>16766.37</v>
      </c>
    </row>
    <row r="165" spans="1:19">
      <c r="A165" s="796">
        <f t="shared" si="30"/>
        <v>9.9999999999999787</v>
      </c>
      <c r="B165" s="621" t="s">
        <v>1496</v>
      </c>
      <c r="C165" s="780">
        <f t="shared" si="57"/>
        <v>0</v>
      </c>
      <c r="D165" s="780">
        <f t="shared" si="37"/>
        <v>36766.46</v>
      </c>
      <c r="E165" s="780"/>
      <c r="F165" s="780"/>
      <c r="G165" s="780">
        <f t="shared" si="58"/>
        <v>18383</v>
      </c>
      <c r="H165" s="780"/>
      <c r="I165" s="780">
        <f t="shared" si="59"/>
        <v>0</v>
      </c>
      <c r="J165" s="780">
        <f t="shared" si="60"/>
        <v>0</v>
      </c>
      <c r="K165" s="780">
        <f t="shared" si="61"/>
        <v>18383.23</v>
      </c>
      <c r="L165" s="780"/>
      <c r="M165" s="621"/>
      <c r="N165" s="621"/>
      <c r="O165" s="621"/>
      <c r="P165" s="780"/>
      <c r="Q165" s="621"/>
      <c r="R165" s="621"/>
      <c r="S165" s="621">
        <v>36766.46</v>
      </c>
    </row>
    <row r="166" spans="1:19">
      <c r="A166" s="796">
        <f t="shared" si="30"/>
        <v>10.009999999999978</v>
      </c>
      <c r="B166" s="621" t="s">
        <v>1489</v>
      </c>
      <c r="C166" s="780">
        <f t="shared" si="52"/>
        <v>0</v>
      </c>
      <c r="D166" s="780">
        <f t="shared" si="37"/>
        <v>2220494.2200000002</v>
      </c>
      <c r="E166" s="780"/>
      <c r="F166" s="780"/>
      <c r="G166" s="780">
        <f t="shared" si="53"/>
        <v>1110247</v>
      </c>
      <c r="H166" s="780"/>
      <c r="I166" s="780">
        <f t="shared" si="54"/>
        <v>1110247.1100000001</v>
      </c>
      <c r="J166" s="780">
        <f t="shared" si="55"/>
        <v>0</v>
      </c>
      <c r="K166" s="780">
        <f t="shared" si="56"/>
        <v>0</v>
      </c>
      <c r="L166" s="780"/>
      <c r="M166" s="621"/>
      <c r="N166" s="621"/>
      <c r="O166" s="621"/>
      <c r="P166" s="780"/>
      <c r="Q166" s="621">
        <v>2220494.2200000002</v>
      </c>
      <c r="R166" s="621"/>
      <c r="S166" s="621"/>
    </row>
    <row r="167" spans="1:19">
      <c r="A167" s="796">
        <f t="shared" si="30"/>
        <v>10.019999999999978</v>
      </c>
      <c r="B167" s="621" t="s">
        <v>1497</v>
      </c>
      <c r="C167" s="780">
        <f t="shared" ref="C167" si="62">SUM(M167:O167)</f>
        <v>0</v>
      </c>
      <c r="D167" s="780">
        <f t="shared" si="37"/>
        <v>7316.93</v>
      </c>
      <c r="E167" s="780"/>
      <c r="F167" s="780"/>
      <c r="G167" s="780">
        <f t="shared" ref="G167" si="63">ROUND(SUM(C167:F167)/2,0)</f>
        <v>3658</v>
      </c>
      <c r="H167" s="780"/>
      <c r="I167" s="780">
        <f t="shared" ref="I167" si="64">(M167+Q167)/2</f>
        <v>0</v>
      </c>
      <c r="J167" s="780">
        <f t="shared" ref="J167" si="65">(N167+R167)/2</f>
        <v>0</v>
      </c>
      <c r="K167" s="780">
        <f t="shared" ref="K167" si="66">(O167+S167)/2</f>
        <v>3658.4650000000001</v>
      </c>
      <c r="L167" s="780"/>
      <c r="M167" s="621"/>
      <c r="N167" s="621"/>
      <c r="O167" s="621"/>
      <c r="P167" s="780"/>
      <c r="Q167" s="621"/>
      <c r="R167" s="621"/>
      <c r="S167" s="621">
        <v>7316.93</v>
      </c>
    </row>
    <row r="168" spans="1:19">
      <c r="A168" s="796">
        <f t="shared" si="30"/>
        <v>10.029999999999978</v>
      </c>
      <c r="B168" s="621" t="s">
        <v>1490</v>
      </c>
      <c r="C168" s="780">
        <f t="shared" si="52"/>
        <v>0</v>
      </c>
      <c r="D168" s="780">
        <f t="shared" si="37"/>
        <v>1241756.1000000001</v>
      </c>
      <c r="E168" s="780"/>
      <c r="F168" s="780"/>
      <c r="G168" s="780">
        <f t="shared" si="53"/>
        <v>620878</v>
      </c>
      <c r="H168" s="780"/>
      <c r="I168" s="780">
        <f t="shared" si="54"/>
        <v>620878.05000000005</v>
      </c>
      <c r="J168" s="780">
        <f t="shared" si="55"/>
        <v>0</v>
      </c>
      <c r="K168" s="780">
        <f t="shared" si="56"/>
        <v>0</v>
      </c>
      <c r="L168" s="780"/>
      <c r="M168" s="621"/>
      <c r="N168" s="621"/>
      <c r="O168" s="621"/>
      <c r="P168" s="780"/>
      <c r="Q168" s="621">
        <v>1241756.1000000001</v>
      </c>
      <c r="R168" s="621"/>
      <c r="S168" s="621"/>
    </row>
    <row r="169" spans="1:19">
      <c r="A169" s="796">
        <f t="shared" si="30"/>
        <v>10.039999999999978</v>
      </c>
      <c r="B169" s="621" t="s">
        <v>1411</v>
      </c>
      <c r="C169" s="780">
        <f t="shared" si="36"/>
        <v>6135472.4900000002</v>
      </c>
      <c r="D169" s="780">
        <f t="shared" si="37"/>
        <v>6668961.9500000002</v>
      </c>
      <c r="E169" s="780"/>
      <c r="F169" s="780"/>
      <c r="G169" s="780">
        <f t="shared" si="38"/>
        <v>6402217</v>
      </c>
      <c r="H169" s="780"/>
      <c r="I169" s="780">
        <f t="shared" si="39"/>
        <v>1709250.7549999999</v>
      </c>
      <c r="J169" s="780">
        <f t="shared" si="40"/>
        <v>1641272.58</v>
      </c>
      <c r="K169" s="780">
        <f t="shared" si="41"/>
        <v>3051693.8849999998</v>
      </c>
      <c r="L169" s="780"/>
      <c r="M169" s="621">
        <v>1611122.69</v>
      </c>
      <c r="N169" s="621">
        <v>1577868.12</v>
      </c>
      <c r="O169" s="621">
        <v>2946481.68</v>
      </c>
      <c r="P169" s="780"/>
      <c r="Q169" s="621">
        <v>1807378.82</v>
      </c>
      <c r="R169" s="621">
        <v>1704677.04</v>
      </c>
      <c r="S169" s="621">
        <v>3156906.09</v>
      </c>
    </row>
    <row r="170" spans="1:19">
      <c r="A170" s="796">
        <f t="shared" si="30"/>
        <v>10.049999999999978</v>
      </c>
      <c r="B170" s="621" t="s">
        <v>1412</v>
      </c>
      <c r="C170" s="780">
        <f t="shared" si="36"/>
        <v>22576150.890000001</v>
      </c>
      <c r="D170" s="780">
        <f t="shared" si="37"/>
        <v>16586823.869999999</v>
      </c>
      <c r="E170" s="780"/>
      <c r="F170" s="780"/>
      <c r="G170" s="780">
        <f t="shared" si="38"/>
        <v>19581487</v>
      </c>
      <c r="H170" s="780"/>
      <c r="I170" s="780">
        <f t="shared" si="39"/>
        <v>19581487.379999999</v>
      </c>
      <c r="J170" s="780">
        <f t="shared" si="40"/>
        <v>0</v>
      </c>
      <c r="K170" s="780">
        <f t="shared" si="41"/>
        <v>0</v>
      </c>
      <c r="L170" s="780"/>
      <c r="M170" s="621">
        <v>22576150.890000001</v>
      </c>
      <c r="N170" s="621"/>
      <c r="O170" s="621"/>
      <c r="P170" s="780"/>
      <c r="Q170" s="621">
        <v>16586823.869999999</v>
      </c>
      <c r="R170" s="621"/>
      <c r="S170" s="621"/>
    </row>
    <row r="171" spans="1:19">
      <c r="A171" s="796">
        <f t="shared" si="30"/>
        <v>10.059999999999977</v>
      </c>
      <c r="B171" s="621" t="s">
        <v>1413</v>
      </c>
      <c r="C171" s="780">
        <f t="shared" si="36"/>
        <v>854356.02</v>
      </c>
      <c r="D171" s="780">
        <f t="shared" si="37"/>
        <v>3220338.45</v>
      </c>
      <c r="E171" s="780"/>
      <c r="F171" s="780"/>
      <c r="G171" s="780">
        <f t="shared" si="38"/>
        <v>2037347</v>
      </c>
      <c r="H171" s="780"/>
      <c r="I171" s="780">
        <f t="shared" si="39"/>
        <v>2037347.2350000001</v>
      </c>
      <c r="J171" s="780">
        <f t="shared" si="40"/>
        <v>0</v>
      </c>
      <c r="K171" s="780">
        <f t="shared" si="41"/>
        <v>0</v>
      </c>
      <c r="L171" s="780"/>
      <c r="M171" s="621">
        <v>854356.02</v>
      </c>
      <c r="N171" s="621"/>
      <c r="O171" s="621"/>
      <c r="P171" s="780"/>
      <c r="Q171" s="621">
        <v>3220338.45</v>
      </c>
      <c r="R171" s="621"/>
      <c r="S171" s="621"/>
    </row>
    <row r="172" spans="1:19">
      <c r="A172" s="796">
        <f t="shared" si="30"/>
        <v>10.069999999999977</v>
      </c>
      <c r="B172" s="1173" t="s">
        <v>1227</v>
      </c>
      <c r="C172" s="1173">
        <f t="shared" ref="C172" si="67">SUM(M172:O172)</f>
        <v>0</v>
      </c>
      <c r="D172" s="1173">
        <f t="shared" ref="D172" si="68">SUM(Q172:S172)</f>
        <v>0</v>
      </c>
      <c r="E172" s="1174"/>
      <c r="F172" s="1174"/>
      <c r="G172" s="780">
        <f>ROUND(SUM(C172:F172)/2,0)</f>
        <v>0</v>
      </c>
      <c r="H172" s="780"/>
      <c r="I172" s="780">
        <f t="shared" ref="I172" si="69">(M172+Q172)/2</f>
        <v>0</v>
      </c>
      <c r="J172" s="780">
        <f t="shared" ref="J172" si="70">(N172+R172)/2</f>
        <v>0</v>
      </c>
      <c r="K172" s="780">
        <f t="shared" ref="K172" si="71">(O172+S172)/2</f>
        <v>0</v>
      </c>
      <c r="L172" s="780"/>
      <c r="M172" s="621">
        <v>0</v>
      </c>
      <c r="N172" s="621">
        <v>0</v>
      </c>
      <c r="O172" s="621">
        <v>0</v>
      </c>
      <c r="P172" s="780"/>
      <c r="Q172" s="621"/>
      <c r="R172" s="621"/>
      <c r="S172" s="621"/>
    </row>
    <row r="173" spans="1:19">
      <c r="A173" s="796">
        <f t="shared" si="30"/>
        <v>10.079999999999977</v>
      </c>
      <c r="B173" s="1173" t="s">
        <v>1228</v>
      </c>
      <c r="C173" s="1173">
        <f>-E173</f>
        <v>0</v>
      </c>
      <c r="D173" s="1173">
        <f>-F173</f>
        <v>0</v>
      </c>
      <c r="E173" s="1174">
        <f>C172</f>
        <v>0</v>
      </c>
      <c r="F173" s="1174">
        <f>D172</f>
        <v>0</v>
      </c>
      <c r="G173" s="780"/>
      <c r="H173" s="780"/>
      <c r="I173" s="780"/>
      <c r="J173" s="780"/>
      <c r="K173" s="780"/>
      <c r="L173" s="780"/>
      <c r="M173" s="621"/>
      <c r="N173" s="621"/>
      <c r="O173" s="621"/>
      <c r="P173" s="780"/>
      <c r="Q173" s="621"/>
      <c r="R173" s="621"/>
      <c r="S173" s="621"/>
    </row>
    <row r="174" spans="1:19">
      <c r="A174" s="796">
        <f t="shared" si="30"/>
        <v>10.089999999999977</v>
      </c>
      <c r="B174" s="621" t="s">
        <v>962</v>
      </c>
      <c r="C174" s="621">
        <f t="shared" ref="C174:D182" si="72">-E174</f>
        <v>85461.119999999995</v>
      </c>
      <c r="D174" s="621">
        <f t="shared" si="72"/>
        <v>86171.180000000008</v>
      </c>
      <c r="E174" s="780">
        <v>-85461.119999999995</v>
      </c>
      <c r="F174" s="780">
        <v>-86171.180000000008</v>
      </c>
      <c r="G174" s="780"/>
      <c r="H174" s="780"/>
      <c r="I174" s="780"/>
      <c r="J174" s="780"/>
      <c r="K174" s="780"/>
      <c r="L174" s="780"/>
      <c r="M174" s="780"/>
      <c r="N174" s="780"/>
      <c r="O174" s="780"/>
      <c r="P174" s="780"/>
      <c r="Q174" s="780"/>
      <c r="R174" s="780"/>
      <c r="S174" s="780"/>
    </row>
    <row r="175" spans="1:19">
      <c r="A175" s="796">
        <f t="shared" si="30"/>
        <v>10.099999999999977</v>
      </c>
      <c r="B175" s="621" t="s">
        <v>967</v>
      </c>
      <c r="C175" s="621">
        <f t="shared" si="72"/>
        <v>80336118.170000002</v>
      </c>
      <c r="D175" s="621">
        <f t="shared" si="72"/>
        <v>80711936.430000007</v>
      </c>
      <c r="E175" s="780">
        <v>-80336118.170000002</v>
      </c>
      <c r="F175" s="780">
        <v>-80711936.430000007</v>
      </c>
      <c r="G175" s="780"/>
      <c r="H175" s="780"/>
      <c r="I175" s="780"/>
      <c r="J175" s="780"/>
      <c r="K175" s="780"/>
      <c r="L175" s="780"/>
      <c r="M175" s="780"/>
      <c r="N175" s="780"/>
      <c r="O175" s="780"/>
      <c r="P175" s="780"/>
      <c r="Q175" s="780"/>
      <c r="R175" s="780"/>
      <c r="S175" s="780"/>
    </row>
    <row r="176" spans="1:19">
      <c r="A176" s="796">
        <f t="shared" si="30"/>
        <v>10.109999999999976</v>
      </c>
      <c r="B176" s="621" t="s">
        <v>968</v>
      </c>
      <c r="C176" s="621">
        <f t="shared" si="72"/>
        <v>17926991.140000001</v>
      </c>
      <c r="D176" s="621">
        <f t="shared" si="72"/>
        <v>24678649.879999999</v>
      </c>
      <c r="E176" s="780">
        <v>-17926991.140000001</v>
      </c>
      <c r="F176" s="780">
        <v>-24678649.879999999</v>
      </c>
      <c r="G176" s="780"/>
      <c r="H176" s="780"/>
      <c r="I176" s="780"/>
      <c r="J176" s="780"/>
      <c r="K176" s="780"/>
      <c r="L176" s="780"/>
      <c r="M176" s="780"/>
      <c r="N176" s="780"/>
      <c r="O176" s="780"/>
      <c r="P176" s="780"/>
      <c r="Q176" s="780"/>
      <c r="R176" s="780"/>
      <c r="S176" s="780"/>
    </row>
    <row r="177" spans="1:19">
      <c r="A177" s="796">
        <f t="shared" si="30"/>
        <v>10.119999999999976</v>
      </c>
      <c r="B177" s="621" t="s">
        <v>1090</v>
      </c>
      <c r="C177" s="621">
        <f t="shared" ref="C177:C179" si="73">-E177</f>
        <v>-3560388</v>
      </c>
      <c r="D177" s="621">
        <f t="shared" ref="D177:D179" si="74">-F177</f>
        <v>-394255.08</v>
      </c>
      <c r="E177" s="780">
        <v>3560388</v>
      </c>
      <c r="F177" s="780">
        <v>394255.08</v>
      </c>
      <c r="G177" s="780"/>
      <c r="H177" s="780"/>
      <c r="I177" s="780"/>
      <c r="J177" s="780"/>
      <c r="K177" s="780"/>
      <c r="L177" s="780"/>
      <c r="M177" s="780"/>
      <c r="N177" s="780"/>
      <c r="O177" s="780"/>
      <c r="P177" s="780"/>
      <c r="Q177" s="780"/>
      <c r="R177" s="780"/>
      <c r="S177" s="780"/>
    </row>
    <row r="178" spans="1:19">
      <c r="A178" s="796">
        <f t="shared" si="30"/>
        <v>10.129999999999976</v>
      </c>
      <c r="B178" s="621" t="s">
        <v>1096</v>
      </c>
      <c r="C178" s="621">
        <f t="shared" si="73"/>
        <v>-35332231.890000001</v>
      </c>
      <c r="D178" s="621">
        <f t="shared" si="74"/>
        <v>-31406427.890000001</v>
      </c>
      <c r="E178" s="780">
        <v>35332231.890000001</v>
      </c>
      <c r="F178" s="780">
        <v>31406427.890000001</v>
      </c>
      <c r="G178" s="780"/>
      <c r="H178" s="780"/>
      <c r="I178" s="780"/>
      <c r="J178" s="780"/>
      <c r="K178" s="780"/>
      <c r="L178" s="780"/>
      <c r="M178" s="780"/>
      <c r="N178" s="780"/>
      <c r="O178" s="780"/>
      <c r="P178" s="780"/>
      <c r="Q178" s="780"/>
      <c r="R178" s="780"/>
      <c r="S178" s="780"/>
    </row>
    <row r="179" spans="1:19">
      <c r="A179" s="796">
        <f t="shared" si="30"/>
        <v>10.139999999999976</v>
      </c>
      <c r="B179" s="621" t="s">
        <v>1091</v>
      </c>
      <c r="C179" s="621">
        <f t="shared" si="73"/>
        <v>-16563491</v>
      </c>
      <c r="D179" s="621">
        <f t="shared" si="74"/>
        <v>-14723104</v>
      </c>
      <c r="E179" s="780">
        <v>16563491</v>
      </c>
      <c r="F179" s="780">
        <v>14723104</v>
      </c>
      <c r="G179" s="780"/>
      <c r="H179" s="780"/>
      <c r="I179" s="780"/>
      <c r="J179" s="780"/>
      <c r="K179" s="780"/>
      <c r="L179" s="780"/>
      <c r="M179" s="780"/>
      <c r="N179" s="780"/>
      <c r="O179" s="780"/>
      <c r="P179" s="780"/>
      <c r="Q179" s="780"/>
      <c r="R179" s="780"/>
      <c r="S179" s="780"/>
    </row>
    <row r="180" spans="1:19">
      <c r="A180" s="796">
        <f t="shared" si="30"/>
        <v>10.149999999999975</v>
      </c>
      <c r="B180" s="621" t="s">
        <v>969</v>
      </c>
      <c r="C180" s="621">
        <f t="shared" si="72"/>
        <v>1836663.77</v>
      </c>
      <c r="D180" s="621">
        <f t="shared" si="72"/>
        <v>1573413.55</v>
      </c>
      <c r="E180" s="780">
        <v>-1836663.77</v>
      </c>
      <c r="F180" s="780">
        <v>-1573413.55</v>
      </c>
      <c r="G180" s="780"/>
      <c r="H180" s="780"/>
      <c r="I180" s="780"/>
      <c r="J180" s="780"/>
      <c r="K180" s="780"/>
      <c r="L180" s="780"/>
      <c r="M180" s="780"/>
      <c r="N180" s="780"/>
      <c r="O180" s="780"/>
      <c r="P180" s="780"/>
      <c r="Q180" s="780"/>
      <c r="R180" s="780"/>
      <c r="S180" s="780"/>
    </row>
    <row r="181" spans="1:19">
      <c r="A181" s="796">
        <f t="shared" si="30"/>
        <v>10.159999999999975</v>
      </c>
      <c r="B181" s="621" t="s">
        <v>970</v>
      </c>
      <c r="C181" s="621">
        <f t="shared" si="72"/>
        <v>3053.12</v>
      </c>
      <c r="D181" s="621">
        <f t="shared" si="72"/>
        <v>2616.91</v>
      </c>
      <c r="E181" s="780">
        <v>-3053.12</v>
      </c>
      <c r="F181" s="780">
        <v>-2616.91</v>
      </c>
      <c r="G181" s="780"/>
      <c r="H181" s="780"/>
      <c r="I181" s="780"/>
      <c r="J181" s="780"/>
      <c r="K181" s="780"/>
      <c r="L181" s="780"/>
      <c r="M181" s="780"/>
      <c r="N181" s="780"/>
      <c r="O181" s="780"/>
      <c r="P181" s="780"/>
      <c r="Q181" s="780"/>
      <c r="R181" s="780"/>
      <c r="S181" s="780"/>
    </row>
    <row r="182" spans="1:19">
      <c r="A182" s="796">
        <f t="shared" si="30"/>
        <v>10.169999999999975</v>
      </c>
      <c r="B182" s="621" t="s">
        <v>971</v>
      </c>
      <c r="C182" s="621">
        <f t="shared" si="72"/>
        <v>0</v>
      </c>
      <c r="D182" s="621">
        <f t="shared" si="72"/>
        <v>0</v>
      </c>
      <c r="E182" s="780">
        <v>0</v>
      </c>
      <c r="F182" s="780">
        <v>0</v>
      </c>
      <c r="G182" s="780"/>
      <c r="H182" s="780"/>
      <c r="I182" s="780"/>
      <c r="J182" s="780"/>
      <c r="K182" s="780"/>
      <c r="L182" s="780"/>
      <c r="M182" s="780"/>
      <c r="N182" s="780"/>
      <c r="O182" s="780"/>
      <c r="P182" s="780"/>
      <c r="Q182" s="780"/>
      <c r="R182" s="780"/>
      <c r="S182" s="780"/>
    </row>
    <row r="183" spans="1:19">
      <c r="A183" s="796"/>
      <c r="B183" s="621"/>
      <c r="C183" s="621"/>
      <c r="D183" s="621"/>
      <c r="E183" s="780"/>
      <c r="F183" s="780"/>
      <c r="G183" s="780"/>
      <c r="H183" s="780"/>
      <c r="I183" s="780"/>
      <c r="J183" s="780"/>
      <c r="K183" s="780"/>
      <c r="L183" s="780"/>
      <c r="M183" s="780"/>
      <c r="N183" s="780"/>
      <c r="O183" s="780"/>
      <c r="P183" s="780"/>
      <c r="Q183" s="780"/>
      <c r="R183" s="780"/>
      <c r="S183" s="780"/>
    </row>
    <row r="184" spans="1:19">
      <c r="A184" s="786"/>
      <c r="B184" s="773"/>
      <c r="C184" s="780"/>
      <c r="D184" s="780"/>
      <c r="E184" s="780"/>
      <c r="F184" s="780"/>
      <c r="G184" s="780"/>
      <c r="H184" s="780"/>
      <c r="I184" s="780"/>
      <c r="J184" s="780"/>
      <c r="K184" s="780"/>
      <c r="L184" s="780"/>
      <c r="M184" s="780"/>
      <c r="N184" s="780"/>
      <c r="O184" s="780"/>
      <c r="P184" s="780"/>
      <c r="Q184" s="780"/>
      <c r="R184" s="780"/>
      <c r="S184" s="780"/>
    </row>
    <row r="185" spans="1:19">
      <c r="A185" s="786"/>
      <c r="B185" s="773"/>
      <c r="C185" s="780"/>
      <c r="D185" s="780"/>
      <c r="E185" s="780"/>
      <c r="F185" s="780"/>
      <c r="G185" s="780"/>
      <c r="H185" s="780"/>
      <c r="I185" s="780"/>
      <c r="J185" s="780"/>
      <c r="K185" s="780"/>
      <c r="L185" s="780"/>
      <c r="M185" s="780"/>
      <c r="N185" s="780"/>
      <c r="O185" s="780"/>
      <c r="P185" s="780"/>
      <c r="Q185" s="780"/>
      <c r="R185" s="780"/>
      <c r="S185" s="780"/>
    </row>
    <row r="186" spans="1:19" ht="13.5" thickBot="1">
      <c r="A186" s="786">
        <v>10</v>
      </c>
      <c r="C186" s="782">
        <f>SUM(C66:C185)</f>
        <v>400276720.41000003</v>
      </c>
      <c r="D186" s="782">
        <f>SUM(D66:D185)</f>
        <v>440143085.56000006</v>
      </c>
      <c r="E186" s="782">
        <f>SUM(E66:E185)</f>
        <v>-44732176.430000007</v>
      </c>
      <c r="F186" s="782">
        <f>SUM(F66:F185)</f>
        <v>-60529000.980000004</v>
      </c>
      <c r="G186" s="782">
        <f>SUM(G66:G185)</f>
        <v>367597419</v>
      </c>
      <c r="H186" s="784"/>
      <c r="I186" s="782">
        <f>SUM(I66:I185)</f>
        <v>238305774.70000005</v>
      </c>
      <c r="J186" s="782">
        <f>SUM(J66:J185)</f>
        <v>25186882.500000007</v>
      </c>
      <c r="K186" s="782">
        <f>SUM(K66:K185)</f>
        <v>104104766.85000002</v>
      </c>
      <c r="L186" s="784"/>
      <c r="M186" s="782">
        <f>SUM(M66:M185)</f>
        <v>240162322.72999999</v>
      </c>
      <c r="N186" s="782">
        <f>SUM(N66:N185)</f>
        <v>20300772.329999998</v>
      </c>
      <c r="O186" s="782">
        <f>SUM(O66:O185)</f>
        <v>95081448.920000002</v>
      </c>
      <c r="P186" s="784"/>
      <c r="Q186" s="782">
        <f>SUM(Q66:Q185)</f>
        <v>236449226.66999993</v>
      </c>
      <c r="R186" s="782">
        <f>SUM(R66:R185)</f>
        <v>30072992.669999998</v>
      </c>
      <c r="S186" s="782">
        <f>SUM(S66:S185)</f>
        <v>113091865.24000001</v>
      </c>
    </row>
    <row r="187" spans="1:19" ht="13.5" thickTop="1">
      <c r="A187" s="786"/>
      <c r="B187" s="773"/>
      <c r="C187" s="783"/>
      <c r="D187" s="783"/>
      <c r="E187" s="783"/>
      <c r="F187" s="783"/>
      <c r="G187" s="783"/>
      <c r="H187" s="780"/>
      <c r="I187" s="783"/>
      <c r="J187" s="783"/>
      <c r="K187" s="783"/>
      <c r="L187" s="780"/>
      <c r="M187" s="783"/>
      <c r="N187" s="783"/>
      <c r="O187" s="783"/>
      <c r="P187" s="780"/>
      <c r="Q187" s="783"/>
      <c r="R187" s="783"/>
      <c r="S187" s="783"/>
    </row>
    <row r="188" spans="1:19">
      <c r="A188" s="786"/>
      <c r="B188" s="773"/>
      <c r="C188" s="780"/>
      <c r="D188" s="780"/>
      <c r="E188" s="780"/>
      <c r="F188" s="780"/>
      <c r="G188" s="780"/>
      <c r="H188" s="780"/>
      <c r="I188" s="780"/>
      <c r="J188" s="780"/>
      <c r="K188" s="780"/>
      <c r="L188" s="780"/>
      <c r="M188" s="780"/>
      <c r="N188" s="780"/>
      <c r="O188" s="780"/>
      <c r="P188" s="780"/>
      <c r="Q188" s="780"/>
      <c r="R188" s="780"/>
      <c r="S188" s="780"/>
    </row>
    <row r="189" spans="1:19">
      <c r="A189" s="786">
        <f>+A186+1</f>
        <v>11</v>
      </c>
      <c r="B189" t="s">
        <v>728</v>
      </c>
      <c r="C189" s="780">
        <f>SUM(M189:O189)</f>
        <v>78283774.280000001</v>
      </c>
      <c r="D189" s="780">
        <f>SUM(Q189:S189)</f>
        <v>77590583.030000001</v>
      </c>
      <c r="E189" s="780"/>
      <c r="F189" s="780"/>
      <c r="G189" s="780">
        <f>ROUND(SUM(C189:F189)/2,0)</f>
        <v>77937179</v>
      </c>
      <c r="H189" s="780"/>
      <c r="I189" s="780">
        <f>(M189+Q189)/2</f>
        <v>36725562.044999994</v>
      </c>
      <c r="J189" s="780">
        <f>(N189+R189)/2</f>
        <v>14195082.66</v>
      </c>
      <c r="K189" s="780">
        <f>(O189+S189)/2</f>
        <v>27016533.949999999</v>
      </c>
      <c r="L189" s="780"/>
      <c r="M189" s="621">
        <v>36927860.099999994</v>
      </c>
      <c r="N189" s="621">
        <v>14326892.170000002</v>
      </c>
      <c r="O189" s="621">
        <v>27029022.009999998</v>
      </c>
      <c r="P189" s="780"/>
      <c r="Q189" s="621">
        <v>36523263.989999995</v>
      </c>
      <c r="R189" s="621">
        <v>14063273.149999999</v>
      </c>
      <c r="S189" s="621">
        <v>27004045.890000001</v>
      </c>
    </row>
    <row r="190" spans="1:19">
      <c r="A190" s="796">
        <f>A189+0.01</f>
        <v>11.01</v>
      </c>
      <c r="B190" s="621" t="s">
        <v>1415</v>
      </c>
      <c r="C190" s="621">
        <f>-E190</f>
        <v>232711967.84</v>
      </c>
      <c r="D190" s="621">
        <f>-F190</f>
        <v>240381819.56</v>
      </c>
      <c r="E190" s="780">
        <v>-232711967.84</v>
      </c>
      <c r="F190" s="780">
        <v>-240381819.56</v>
      </c>
      <c r="G190" s="780">
        <f>ROUND(SUM(C190:F190)/2,0)</f>
        <v>0</v>
      </c>
      <c r="H190" s="780"/>
      <c r="I190" s="780"/>
      <c r="J190" s="780"/>
      <c r="K190" s="780"/>
      <c r="L190" s="780"/>
      <c r="M190" s="780"/>
      <c r="N190" s="780"/>
      <c r="O190" s="780"/>
      <c r="P190" s="780"/>
      <c r="Q190" s="780"/>
      <c r="R190" s="780"/>
      <c r="S190" s="780"/>
    </row>
    <row r="191" spans="1:19">
      <c r="A191" s="786"/>
      <c r="B191" s="773"/>
      <c r="C191" s="780"/>
      <c r="D191" s="780"/>
      <c r="E191" s="780"/>
      <c r="F191" s="780"/>
      <c r="G191" s="780"/>
      <c r="H191" s="780"/>
      <c r="I191" s="780"/>
      <c r="J191" s="780"/>
      <c r="K191" s="780"/>
      <c r="L191" s="780"/>
      <c r="M191" s="780"/>
      <c r="N191" s="780"/>
      <c r="O191" s="780"/>
      <c r="P191" s="780"/>
      <c r="Q191" s="780"/>
      <c r="R191" s="780"/>
      <c r="S191" s="780"/>
    </row>
    <row r="192" spans="1:19" ht="13.5" thickBot="1">
      <c r="A192" s="786">
        <f>+A189+1</f>
        <v>12</v>
      </c>
      <c r="B192" s="4" t="s">
        <v>729</v>
      </c>
      <c r="C192" s="782">
        <f>SUM(C186:C191)</f>
        <v>711272462.53000009</v>
      </c>
      <c r="D192" s="782">
        <f>SUM(D186:D191)</f>
        <v>758115488.1500001</v>
      </c>
      <c r="E192" s="782">
        <f>SUM(E186:E191)</f>
        <v>-277444144.26999998</v>
      </c>
      <c r="F192" s="782">
        <f>SUM(F186:F191)</f>
        <v>-300910820.54000002</v>
      </c>
      <c r="G192" s="782">
        <f>SUM(G186:G191)</f>
        <v>445534598</v>
      </c>
      <c r="H192" s="780"/>
      <c r="I192" s="782">
        <f>SUM(I186:I191)</f>
        <v>275031336.74500006</v>
      </c>
      <c r="J192" s="782">
        <f>SUM(J186:J191)</f>
        <v>39381965.160000011</v>
      </c>
      <c r="K192" s="782">
        <f>SUM(K186:K191)</f>
        <v>131121300.80000003</v>
      </c>
      <c r="L192" s="780"/>
      <c r="M192" s="782">
        <f>SUM(M186:M191)</f>
        <v>277090182.82999998</v>
      </c>
      <c r="N192" s="782">
        <f>SUM(N186:N191)</f>
        <v>34627664.5</v>
      </c>
      <c r="O192" s="782">
        <f>SUM(O186:O191)</f>
        <v>122110470.93000001</v>
      </c>
      <c r="P192" s="780"/>
      <c r="Q192" s="782">
        <f>SUM(Q186:Q191)</f>
        <v>272972490.65999991</v>
      </c>
      <c r="R192" s="782">
        <f>SUM(R186:R191)</f>
        <v>44136265.819999993</v>
      </c>
      <c r="S192" s="782">
        <f>SUM(S186:S191)</f>
        <v>140095911.13</v>
      </c>
    </row>
    <row r="193" spans="1:19" ht="13.5" thickTop="1">
      <c r="A193" s="786">
        <f>A192+1</f>
        <v>13</v>
      </c>
      <c r="B193" s="18" t="s">
        <v>740</v>
      </c>
      <c r="C193" s="783">
        <f>C142+C114</f>
        <v>123834305.90000001</v>
      </c>
      <c r="D193" s="783">
        <f>D142+D114</f>
        <v>120411299.11</v>
      </c>
      <c r="E193" s="783">
        <f>E142+E114+E93</f>
        <v>0</v>
      </c>
      <c r="F193" s="783">
        <f>F142+F114+F93</f>
        <v>0</v>
      </c>
      <c r="G193" s="783">
        <f>G142+G114+G93</f>
        <v>122122802</v>
      </c>
      <c r="H193" s="780"/>
      <c r="I193" s="783">
        <f>I142+I114+I93</f>
        <v>122122802.63499999</v>
      </c>
      <c r="J193" s="783">
        <f>J142+J114+J93</f>
        <v>0</v>
      </c>
      <c r="K193" s="783">
        <f>K142+K114+K93</f>
        <v>0</v>
      </c>
      <c r="L193" s="780"/>
      <c r="M193" s="783">
        <f>M142+M114+M93</f>
        <v>123834306.03</v>
      </c>
      <c r="N193" s="783">
        <f>N142+N114+N93</f>
        <v>0</v>
      </c>
      <c r="O193" s="783">
        <f>O142+O114+O93</f>
        <v>0</v>
      </c>
      <c r="P193" s="780"/>
      <c r="Q193" s="783">
        <f>Q142+Q114+Q93</f>
        <v>120411299.23999999</v>
      </c>
      <c r="R193" s="783">
        <f>R142+R114+R93</f>
        <v>0</v>
      </c>
      <c r="S193" s="783">
        <f>S142+S114+S93</f>
        <v>0</v>
      </c>
    </row>
    <row r="194" spans="1:19">
      <c r="A194" s="786"/>
      <c r="B194" s="773"/>
      <c r="C194" s="780"/>
      <c r="D194" s="780"/>
      <c r="E194" s="780"/>
      <c r="F194" s="780"/>
      <c r="G194" s="780"/>
      <c r="H194" s="780"/>
      <c r="I194" s="780"/>
      <c r="J194" s="780"/>
      <c r="K194" s="780"/>
      <c r="L194" s="780"/>
      <c r="M194" s="780"/>
      <c r="N194" s="780"/>
      <c r="O194" s="780"/>
      <c r="P194" s="780"/>
      <c r="Q194" s="780"/>
      <c r="R194" s="780"/>
      <c r="S194" s="780"/>
    </row>
    <row r="195" spans="1:19">
      <c r="A195" s="786">
        <f>+A193+1</f>
        <v>14</v>
      </c>
      <c r="B195" t="s">
        <v>730</v>
      </c>
      <c r="C195" s="780"/>
      <c r="D195" s="780"/>
      <c r="E195" s="780"/>
      <c r="F195" s="780"/>
      <c r="G195" s="780"/>
      <c r="H195" s="780"/>
      <c r="I195" s="780"/>
      <c r="J195" s="780"/>
      <c r="K195" s="780"/>
      <c r="L195" s="780"/>
      <c r="M195" s="780"/>
      <c r="N195" s="780"/>
      <c r="O195" s="780"/>
      <c r="P195" s="780"/>
      <c r="Q195" s="780"/>
      <c r="R195" s="780"/>
      <c r="S195" s="780"/>
    </row>
    <row r="196" spans="1:19">
      <c r="A196" s="786"/>
      <c r="B196" s="773"/>
      <c r="C196" s="780"/>
      <c r="D196" s="780"/>
      <c r="E196" s="780"/>
      <c r="F196" s="780"/>
      <c r="G196" s="780"/>
      <c r="H196" s="780"/>
      <c r="I196" s="780"/>
      <c r="J196" s="780"/>
      <c r="K196" s="780"/>
      <c r="L196" s="780"/>
      <c r="M196" s="780"/>
      <c r="N196" s="780"/>
      <c r="O196" s="780"/>
      <c r="P196" s="780"/>
      <c r="Q196" s="780"/>
      <c r="R196" s="780"/>
      <c r="S196" s="780"/>
    </row>
    <row r="197" spans="1:19">
      <c r="A197" s="786">
        <f>+A195+1</f>
        <v>15</v>
      </c>
      <c r="B197" t="s">
        <v>731</v>
      </c>
      <c r="C197" s="780"/>
      <c r="D197" s="780"/>
      <c r="E197" s="780"/>
      <c r="F197" s="780"/>
      <c r="G197" s="780"/>
      <c r="H197" s="780"/>
      <c r="I197" s="780"/>
      <c r="J197" s="780"/>
      <c r="K197" s="780"/>
      <c r="L197" s="780"/>
      <c r="M197" s="780"/>
      <c r="N197" s="780"/>
      <c r="O197" s="780"/>
      <c r="P197" s="780"/>
      <c r="Q197" s="780"/>
      <c r="R197" s="780"/>
      <c r="S197" s="780"/>
    </row>
    <row r="198" spans="1:19">
      <c r="A198" s="786"/>
      <c r="B198" s="773"/>
      <c r="C198" s="780"/>
      <c r="D198" s="784"/>
      <c r="E198" s="784"/>
      <c r="F198" s="784"/>
      <c r="G198" s="784"/>
      <c r="H198" s="784"/>
      <c r="I198" s="784"/>
      <c r="J198" s="784"/>
      <c r="K198" s="784"/>
      <c r="L198" s="784"/>
      <c r="M198" s="780"/>
      <c r="N198" s="780"/>
      <c r="O198" s="780"/>
      <c r="P198" s="780"/>
      <c r="Q198" s="780"/>
      <c r="R198" s="780"/>
      <c r="S198" s="780"/>
    </row>
    <row r="199" spans="1:19">
      <c r="A199" s="786">
        <f>+A197+1</f>
        <v>16</v>
      </c>
      <c r="B199" t="s">
        <v>732</v>
      </c>
      <c r="C199" s="780"/>
      <c r="D199" s="784"/>
      <c r="E199" s="784"/>
      <c r="F199" s="784"/>
      <c r="G199" s="784"/>
      <c r="H199" s="784"/>
      <c r="I199" s="784"/>
      <c r="J199" s="784"/>
      <c r="K199" s="784"/>
      <c r="L199" s="784"/>
      <c r="M199" s="780"/>
      <c r="N199" s="780"/>
      <c r="O199" s="780"/>
      <c r="P199" s="780"/>
      <c r="Q199" s="780"/>
      <c r="R199" s="780"/>
      <c r="S199" s="780"/>
    </row>
    <row r="200" spans="1:19">
      <c r="A200" s="786"/>
      <c r="B200" s="773"/>
      <c r="C200" s="780"/>
      <c r="D200" s="780"/>
      <c r="E200" s="780"/>
      <c r="F200" s="780"/>
      <c r="G200" s="780"/>
      <c r="H200" s="780"/>
      <c r="I200" s="780"/>
      <c r="J200" s="780"/>
      <c r="K200" s="780"/>
      <c r="L200" s="780"/>
      <c r="M200" s="780"/>
      <c r="N200" s="780"/>
      <c r="O200" s="780"/>
      <c r="P200" s="780"/>
      <c r="Q200" s="780"/>
      <c r="R200" s="780"/>
      <c r="S200" s="780"/>
    </row>
    <row r="201" spans="1:19">
      <c r="A201" s="786">
        <f>+A199+1</f>
        <v>17</v>
      </c>
      <c r="B201" t="s">
        <v>733</v>
      </c>
      <c r="C201" s="780"/>
      <c r="D201" s="780"/>
      <c r="E201" s="780"/>
      <c r="F201" s="780"/>
      <c r="G201" s="780"/>
      <c r="H201" s="780"/>
      <c r="I201" s="780"/>
      <c r="J201" s="780"/>
      <c r="K201" s="780"/>
      <c r="L201" s="780"/>
      <c r="M201" s="780"/>
      <c r="N201" s="780"/>
      <c r="O201" s="780"/>
      <c r="P201" s="780"/>
      <c r="Q201" s="780"/>
      <c r="R201" s="780"/>
      <c r="S201" s="780"/>
    </row>
    <row r="202" spans="1:19">
      <c r="A202" s="786">
        <f>A201+1</f>
        <v>18</v>
      </c>
      <c r="B202" t="s">
        <v>734</v>
      </c>
      <c r="C202" s="780"/>
      <c r="D202" s="780"/>
      <c r="E202" s="780"/>
      <c r="F202" s="780"/>
      <c r="G202" s="780"/>
      <c r="H202" s="780"/>
      <c r="I202" s="780"/>
      <c r="J202" s="780"/>
      <c r="K202" s="780"/>
      <c r="L202" s="780"/>
      <c r="M202" s="780"/>
      <c r="N202" s="780"/>
      <c r="O202" s="780"/>
      <c r="P202" s="780"/>
      <c r="Q202" s="780"/>
      <c r="R202" s="780"/>
      <c r="S202" s="780"/>
    </row>
    <row r="203" spans="1:19">
      <c r="A203" s="796">
        <f>A202+0.01</f>
        <v>18.010000000000002</v>
      </c>
      <c r="B203" s="621" t="s">
        <v>972</v>
      </c>
      <c r="C203" s="780">
        <f>SUM(M203:O203)</f>
        <v>531</v>
      </c>
      <c r="D203" s="780">
        <f>SUM(Q203:S203)</f>
        <v>83</v>
      </c>
      <c r="E203" s="780"/>
      <c r="F203" s="780"/>
      <c r="G203" s="780">
        <f>ROUND(SUM(C203:F203)/2,0)</f>
        <v>307</v>
      </c>
      <c r="H203" s="780"/>
      <c r="I203" s="780">
        <f t="shared" ref="I203:K204" si="75">(M203+Q203)/2</f>
        <v>0</v>
      </c>
      <c r="J203" s="780">
        <f t="shared" si="75"/>
        <v>0</v>
      </c>
      <c r="K203" s="780">
        <f t="shared" si="75"/>
        <v>307</v>
      </c>
      <c r="L203" s="780"/>
      <c r="M203" s="621"/>
      <c r="N203" s="621">
        <v>0</v>
      </c>
      <c r="O203" s="621">
        <v>531</v>
      </c>
      <c r="P203" s="780"/>
      <c r="Q203" s="621"/>
      <c r="R203" s="621"/>
      <c r="S203" s="621">
        <v>83</v>
      </c>
    </row>
    <row r="204" spans="1:19">
      <c r="A204" s="796">
        <f>A203+0.01</f>
        <v>18.020000000000003</v>
      </c>
      <c r="B204" s="621" t="s">
        <v>973</v>
      </c>
      <c r="C204" s="780">
        <f>SUM(M204:O204)</f>
        <v>273715</v>
      </c>
      <c r="D204" s="780">
        <f>SUM(Q204:S204)</f>
        <v>262538</v>
      </c>
      <c r="E204" s="780"/>
      <c r="F204" s="780"/>
      <c r="G204" s="780">
        <f>ROUND(SUM(C204:F204)/2,0)</f>
        <v>268127</v>
      </c>
      <c r="H204" s="780"/>
      <c r="I204" s="780">
        <f t="shared" si="75"/>
        <v>0</v>
      </c>
      <c r="J204" s="780">
        <f t="shared" si="75"/>
        <v>268126.5</v>
      </c>
      <c r="K204" s="780">
        <f t="shared" si="75"/>
        <v>0</v>
      </c>
      <c r="L204" s="780"/>
      <c r="M204" s="621"/>
      <c r="N204" s="621">
        <v>273715</v>
      </c>
      <c r="O204" s="621">
        <v>0</v>
      </c>
      <c r="P204" s="780"/>
      <c r="Q204" s="621"/>
      <c r="R204" s="621">
        <v>262538</v>
      </c>
      <c r="S204" s="621"/>
    </row>
    <row r="205" spans="1:19">
      <c r="A205" s="786">
        <f>INT(A204)+1</f>
        <v>19</v>
      </c>
      <c r="C205" s="780"/>
      <c r="D205" s="780"/>
      <c r="E205" s="780"/>
      <c r="F205" s="780"/>
      <c r="G205" s="780"/>
      <c r="H205" s="780"/>
      <c r="I205" s="780"/>
      <c r="J205" s="780"/>
      <c r="K205" s="780"/>
      <c r="L205" s="780"/>
      <c r="M205" s="780"/>
      <c r="N205" s="780"/>
      <c r="O205" s="780"/>
      <c r="P205" s="780"/>
      <c r="Q205" s="780"/>
      <c r="R205" s="780"/>
      <c r="S205" s="780"/>
    </row>
    <row r="206" spans="1:19">
      <c r="A206" s="786">
        <f>A205+1</f>
        <v>20</v>
      </c>
      <c r="B206" t="s">
        <v>735</v>
      </c>
      <c r="C206" s="782">
        <f>SUM(C203:C205)</f>
        <v>274246</v>
      </c>
      <c r="D206" s="782">
        <f>SUM(D203:D205)</f>
        <v>262621</v>
      </c>
      <c r="E206" s="782">
        <f>SUM(E203:E205)</f>
        <v>0</v>
      </c>
      <c r="F206" s="782">
        <f>SUM(F203:F205)</f>
        <v>0</v>
      </c>
      <c r="G206" s="782">
        <f>SUM(G203:G205)</f>
        <v>268434</v>
      </c>
      <c r="H206" s="780"/>
      <c r="I206" s="782">
        <f>SUM(I203:I205)</f>
        <v>0</v>
      </c>
      <c r="J206" s="782">
        <f>SUM(J203:J205)</f>
        <v>268126.5</v>
      </c>
      <c r="K206" s="782">
        <f>SUM(K203:K205)</f>
        <v>307</v>
      </c>
      <c r="L206" s="780"/>
      <c r="M206" s="782">
        <f>SUM(M203:M205)</f>
        <v>0</v>
      </c>
      <c r="N206" s="782">
        <f>SUM(N203:N205)</f>
        <v>273715</v>
      </c>
      <c r="O206" s="782">
        <f>SUM(O203:O205)</f>
        <v>531</v>
      </c>
      <c r="P206" s="780"/>
      <c r="Q206" s="782">
        <f>SUM(Q203:Q205)</f>
        <v>0</v>
      </c>
      <c r="R206" s="782">
        <f>SUM(R203:R205)</f>
        <v>262538</v>
      </c>
      <c r="S206" s="782">
        <f>SUM(S203:S205)</f>
        <v>83</v>
      </c>
    </row>
  </sheetData>
  <pageMargins left="0.7" right="0.7" top="0.75" bottom="0.75" header="0.3" footer="0.3"/>
  <pageSetup scale="2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IV97"/>
  <sheetViews>
    <sheetView tabSelected="1" view="pageBreakPreview" topLeftCell="A58" zoomScale="85" zoomScaleNormal="100" zoomScaleSheetLayoutView="85" workbookViewId="0">
      <selection activeCell="F7" sqref="F7"/>
    </sheetView>
  </sheetViews>
  <sheetFormatPr defaultRowHeight="12.75"/>
  <cols>
    <col min="1" max="1" width="6" customWidth="1"/>
    <col min="2" max="2" width="54.5703125" bestFit="1" customWidth="1"/>
    <col min="3" max="3" width="13.42578125" bestFit="1" customWidth="1"/>
    <col min="4" max="4" width="12.85546875" bestFit="1" customWidth="1"/>
    <col min="5" max="6" width="17" customWidth="1"/>
    <col min="7" max="7" width="15.42578125" bestFit="1" customWidth="1"/>
    <col min="8" max="8" width="2.5703125" customWidth="1"/>
    <col min="9" max="9" width="13.140625" bestFit="1" customWidth="1"/>
    <col min="10" max="10" width="15" bestFit="1" customWidth="1"/>
    <col min="11" max="11" width="13.5703125" bestFit="1" customWidth="1"/>
    <col min="12" max="12" width="2.85546875" customWidth="1"/>
    <col min="13" max="13" width="13.140625" bestFit="1" customWidth="1"/>
    <col min="14" max="14" width="15" bestFit="1" customWidth="1"/>
    <col min="15" max="15" width="13.5703125" bestFit="1" customWidth="1"/>
    <col min="16" max="16" width="2.85546875" customWidth="1"/>
    <col min="17" max="17" width="13.140625" bestFit="1" customWidth="1"/>
    <col min="18" max="18" width="15" bestFit="1" customWidth="1"/>
    <col min="19" max="19" width="13.5703125" bestFit="1" customWidth="1"/>
  </cols>
  <sheetData>
    <row r="1" spans="1:19">
      <c r="A1" s="787"/>
      <c r="B1" s="825" t="str">
        <f>TCOS!F9</f>
        <v>Appalachian Power Company</v>
      </c>
      <c r="C1" s="773"/>
      <c r="D1" s="773"/>
      <c r="E1" s="773"/>
      <c r="F1" s="773"/>
      <c r="M1" s="773"/>
      <c r="N1" s="773"/>
      <c r="P1" s="773"/>
      <c r="Q1" s="773"/>
      <c r="R1" s="773"/>
    </row>
    <row r="2" spans="1:19">
      <c r="A2" s="787"/>
      <c r="B2" s="171" t="s">
        <v>817</v>
      </c>
      <c r="C2" s="773"/>
      <c r="D2" s="773"/>
      <c r="E2" s="773"/>
      <c r="F2" s="773"/>
      <c r="M2" s="773"/>
      <c r="N2" s="773"/>
      <c r="P2" s="773"/>
      <c r="Q2" s="773"/>
      <c r="R2" s="773"/>
    </row>
    <row r="3" spans="1:19">
      <c r="A3" s="787"/>
      <c r="B3" s="171" t="str">
        <f>"PERIOD ENDED DECEMBER 31, "&amp;TCOS!L4</f>
        <v>PERIOD ENDED DECEMBER 31, 2025</v>
      </c>
      <c r="C3" s="773"/>
      <c r="D3" s="773"/>
      <c r="E3" s="773"/>
      <c r="F3" s="773"/>
      <c r="G3" s="773"/>
      <c r="H3" s="773"/>
      <c r="I3" s="773"/>
      <c r="J3" s="773"/>
      <c r="K3" s="773"/>
      <c r="L3" s="773"/>
      <c r="M3" s="773"/>
      <c r="N3" s="773"/>
      <c r="O3" s="773"/>
      <c r="P3" s="773"/>
      <c r="Q3" s="773"/>
      <c r="R3" s="773"/>
      <c r="S3" s="773"/>
    </row>
    <row r="4" spans="1:19">
      <c r="A4" s="787"/>
      <c r="B4" s="779"/>
      <c r="C4" s="773"/>
      <c r="D4" s="773"/>
      <c r="E4" s="773"/>
      <c r="F4" s="773"/>
      <c r="G4" s="1" t="s">
        <v>736</v>
      </c>
      <c r="H4" s="773"/>
      <c r="I4" s="773"/>
      <c r="J4" s="773"/>
      <c r="K4" s="773"/>
      <c r="L4" s="773"/>
      <c r="M4" s="773"/>
      <c r="N4" s="773"/>
      <c r="O4" s="773"/>
      <c r="P4" s="773"/>
      <c r="Q4" s="773"/>
      <c r="R4" s="773"/>
      <c r="S4" s="773"/>
    </row>
    <row r="5" spans="1:19">
      <c r="A5" s="787"/>
      <c r="B5" s="773"/>
      <c r="C5" s="773"/>
      <c r="D5" s="773"/>
      <c r="E5" s="773"/>
      <c r="F5" s="773"/>
      <c r="G5" s="773"/>
      <c r="H5" s="773"/>
      <c r="I5" s="773"/>
      <c r="J5" s="773"/>
      <c r="K5" s="773"/>
      <c r="L5" s="773"/>
      <c r="M5" s="773"/>
      <c r="N5" s="773"/>
      <c r="O5" s="773"/>
      <c r="P5" s="773"/>
      <c r="Q5" s="773"/>
      <c r="R5" s="773"/>
      <c r="S5" s="773"/>
    </row>
    <row r="6" spans="1:19">
      <c r="A6" s="787"/>
      <c r="B6" s="773"/>
      <c r="C6" s="773"/>
      <c r="D6" s="773"/>
      <c r="E6" s="773"/>
      <c r="F6" s="773"/>
      <c r="G6" s="773"/>
      <c r="H6" s="1"/>
      <c r="I6" s="1"/>
      <c r="J6" s="1"/>
      <c r="K6" s="1"/>
      <c r="L6" s="1"/>
      <c r="M6" s="773"/>
      <c r="N6" s="773"/>
      <c r="O6" s="773"/>
      <c r="P6" s="773"/>
      <c r="Q6" s="773"/>
      <c r="R6" s="773"/>
      <c r="S6" s="773"/>
    </row>
    <row r="7" spans="1:19">
      <c r="A7" s="787"/>
      <c r="B7" s="773"/>
      <c r="C7" s="773"/>
      <c r="D7" s="773"/>
      <c r="E7" s="773"/>
      <c r="F7" s="773"/>
      <c r="G7" s="773"/>
      <c r="H7" s="773"/>
      <c r="I7" s="773"/>
      <c r="J7" s="773"/>
      <c r="K7" s="773"/>
      <c r="L7" s="773"/>
      <c r="M7" s="773"/>
      <c r="N7" s="773"/>
      <c r="O7" s="773"/>
      <c r="P7" s="773"/>
      <c r="Q7" s="773"/>
      <c r="R7" s="773"/>
      <c r="S7" s="773"/>
    </row>
    <row r="8" spans="1:19">
      <c r="A8" s="787"/>
      <c r="B8" s="774" t="s">
        <v>696</v>
      </c>
      <c r="C8" s="774" t="s">
        <v>697</v>
      </c>
      <c r="D8" s="774" t="s">
        <v>698</v>
      </c>
      <c r="E8" s="774" t="s">
        <v>699</v>
      </c>
      <c r="F8" s="774" t="s">
        <v>700</v>
      </c>
      <c r="G8" s="774" t="s">
        <v>701</v>
      </c>
      <c r="H8" s="774"/>
      <c r="I8" s="774" t="s">
        <v>702</v>
      </c>
      <c r="J8" s="774" t="s">
        <v>703</v>
      </c>
      <c r="K8" s="774" t="s">
        <v>704</v>
      </c>
      <c r="L8" s="774"/>
      <c r="M8" s="774" t="s">
        <v>705</v>
      </c>
      <c r="N8" s="774" t="s">
        <v>706</v>
      </c>
      <c r="O8" s="774" t="s">
        <v>707</v>
      </c>
      <c r="P8" s="773"/>
      <c r="Q8" s="774" t="s">
        <v>708</v>
      </c>
      <c r="R8" s="774" t="s">
        <v>709</v>
      </c>
      <c r="S8" s="774" t="s">
        <v>710</v>
      </c>
    </row>
    <row r="9" spans="1:19">
      <c r="A9" s="787"/>
      <c r="B9" s="773"/>
      <c r="C9" s="773"/>
      <c r="D9" s="773"/>
      <c r="E9" s="773"/>
      <c r="F9" s="773"/>
      <c r="G9" s="773"/>
      <c r="H9" s="773"/>
      <c r="I9" s="773"/>
      <c r="J9" s="773"/>
      <c r="K9" s="773"/>
      <c r="L9" s="773"/>
      <c r="M9" s="773"/>
      <c r="N9" s="773"/>
      <c r="O9" s="773"/>
      <c r="P9" s="773"/>
      <c r="Q9" s="773"/>
      <c r="R9" s="773"/>
      <c r="S9" s="773"/>
    </row>
    <row r="10" spans="1:19">
      <c r="A10" s="787"/>
      <c r="B10" s="773"/>
      <c r="C10" s="775" t="s">
        <v>711</v>
      </c>
      <c r="D10" s="775"/>
      <c r="E10" s="776" t="s">
        <v>712</v>
      </c>
      <c r="F10" s="775"/>
      <c r="G10" s="1" t="s">
        <v>713</v>
      </c>
      <c r="H10" s="1"/>
      <c r="I10" s="775" t="s">
        <v>714</v>
      </c>
      <c r="J10" s="775"/>
      <c r="K10" s="775"/>
      <c r="L10" s="1"/>
      <c r="M10" s="777" t="str">
        <f>"FUNCTIONALIZATION 12/31/"&amp;TCOS!L4-1</f>
        <v>FUNCTIONALIZATION 12/31/2024</v>
      </c>
      <c r="N10" s="775"/>
      <c r="O10" s="775"/>
      <c r="P10" s="773"/>
      <c r="Q10" s="777" t="str">
        <f>"FUNCTIONALIZATION 12/31/"&amp;TCOS!L4</f>
        <v>FUNCTIONALIZATION 12/31/2025</v>
      </c>
      <c r="R10" s="775"/>
      <c r="S10" s="775"/>
    </row>
    <row r="11" spans="1:19">
      <c r="A11" s="787"/>
      <c r="B11" s="773"/>
      <c r="C11" s="778"/>
      <c r="D11" s="778"/>
      <c r="E11" s="773"/>
      <c r="F11" s="773"/>
      <c r="G11" s="1" t="s">
        <v>715</v>
      </c>
      <c r="H11" s="1"/>
      <c r="I11" s="778"/>
      <c r="J11" s="778"/>
      <c r="K11" s="778"/>
      <c r="L11" s="1"/>
      <c r="M11" s="778"/>
      <c r="N11" s="778"/>
      <c r="O11" s="778"/>
      <c r="P11" s="773"/>
      <c r="Q11" s="778"/>
      <c r="R11" s="778"/>
      <c r="S11" s="778"/>
    </row>
    <row r="12" spans="1:19">
      <c r="A12" s="787"/>
      <c r="B12" s="773"/>
      <c r="C12" s="1" t="s">
        <v>716</v>
      </c>
      <c r="D12" s="1" t="s">
        <v>716</v>
      </c>
      <c r="E12" s="1" t="s">
        <v>716</v>
      </c>
      <c r="F12" s="1" t="s">
        <v>716</v>
      </c>
      <c r="G12" s="1" t="s">
        <v>717</v>
      </c>
      <c r="H12" s="1"/>
      <c r="I12" s="773"/>
      <c r="J12" s="773"/>
      <c r="K12" s="773"/>
      <c r="L12" s="1"/>
      <c r="M12" s="773"/>
      <c r="N12" s="773"/>
      <c r="O12" s="773"/>
      <c r="P12" s="773"/>
      <c r="Q12" s="773"/>
      <c r="R12" s="773"/>
      <c r="S12" s="773"/>
    </row>
    <row r="13" spans="1:19">
      <c r="A13" s="787"/>
      <c r="B13" s="774" t="s">
        <v>718</v>
      </c>
      <c r="C13" s="774" t="str">
        <f>"OF 12-31-"&amp;TCOS!L4-1</f>
        <v>OF 12-31-2024</v>
      </c>
      <c r="D13" s="774" t="str">
        <f>"OF 12-31-"&amp;TCOS!L4</f>
        <v>OF 12-31-2025</v>
      </c>
      <c r="E13" s="774" t="str">
        <f>"OF 12-31-"&amp;TCOS!L4-1</f>
        <v>OF 12-31-2024</v>
      </c>
      <c r="F13" s="774" t="str">
        <f>"OF 12-31-"&amp;TCOS!L4</f>
        <v>OF 12-31-2025</v>
      </c>
      <c r="G13" s="774" t="s">
        <v>719</v>
      </c>
      <c r="H13" s="774"/>
      <c r="I13" s="774" t="s">
        <v>720</v>
      </c>
      <c r="J13" s="774" t="s">
        <v>721</v>
      </c>
      <c r="K13" s="774" t="s">
        <v>722</v>
      </c>
      <c r="L13" s="774"/>
      <c r="M13" s="774" t="s">
        <v>720</v>
      </c>
      <c r="N13" s="774" t="s">
        <v>721</v>
      </c>
      <c r="O13" s="774" t="s">
        <v>722</v>
      </c>
      <c r="P13" s="773"/>
      <c r="Q13" s="774" t="s">
        <v>720</v>
      </c>
      <c r="R13" s="774" t="s">
        <v>721</v>
      </c>
      <c r="S13" s="774" t="s">
        <v>722</v>
      </c>
    </row>
    <row r="14" spans="1:19">
      <c r="A14" s="787"/>
      <c r="B14" s="773"/>
      <c r="C14" s="773"/>
      <c r="D14" s="773"/>
      <c r="E14" s="773"/>
      <c r="F14" s="773"/>
      <c r="G14" s="773"/>
      <c r="H14" s="773"/>
      <c r="I14" s="773"/>
      <c r="J14" s="773"/>
      <c r="K14" s="773"/>
      <c r="L14" s="773"/>
      <c r="M14" s="773"/>
      <c r="N14" s="773"/>
      <c r="O14" s="773"/>
      <c r="P14" s="773"/>
      <c r="Q14" s="773"/>
      <c r="R14" s="773"/>
      <c r="S14" s="773"/>
    </row>
    <row r="15" spans="1:19">
      <c r="A15" s="136">
        <v>1</v>
      </c>
      <c r="B15" s="780" t="s">
        <v>737</v>
      </c>
      <c r="C15" s="780"/>
      <c r="D15" s="780"/>
      <c r="E15" s="780"/>
      <c r="F15" s="781"/>
      <c r="G15" s="780"/>
      <c r="H15" s="780"/>
      <c r="I15" s="780"/>
      <c r="J15" s="780"/>
      <c r="K15" s="780"/>
      <c r="L15" s="780"/>
      <c r="M15" s="780"/>
      <c r="N15" s="780"/>
      <c r="O15" s="780"/>
      <c r="P15" s="780"/>
      <c r="Q15" s="780"/>
      <c r="R15" s="780"/>
      <c r="S15" s="780"/>
    </row>
    <row r="16" spans="1:19">
      <c r="A16" s="136"/>
      <c r="B16" s="780"/>
      <c r="C16" s="780"/>
      <c r="D16" s="780"/>
      <c r="E16" s="780"/>
      <c r="F16" s="780"/>
      <c r="G16" s="780"/>
      <c r="H16" s="780"/>
      <c r="I16" s="780"/>
      <c r="J16" s="780"/>
      <c r="K16" s="780"/>
      <c r="L16" s="780"/>
      <c r="M16" s="780"/>
      <c r="N16" s="780"/>
      <c r="O16" s="780"/>
      <c r="P16" s="780"/>
      <c r="Q16" s="780"/>
      <c r="R16" s="780"/>
      <c r="S16" s="780"/>
    </row>
    <row r="17" spans="1:19">
      <c r="A17" s="796">
        <f>2+0.01</f>
        <v>2.0099999999999998</v>
      </c>
      <c r="B17" s="621" t="s">
        <v>1475</v>
      </c>
      <c r="C17" s="780">
        <f t="shared" ref="C17:C74" si="0">SUM(M17:O17)</f>
        <v>0</v>
      </c>
      <c r="D17" s="780">
        <f t="shared" ref="D17:D74" si="1">SUM(Q17:S17)</f>
        <v>65941950</v>
      </c>
      <c r="E17" s="780"/>
      <c r="F17" s="780"/>
      <c r="G17" s="780">
        <f t="shared" ref="G17:G74" si="2">ROUND(SUM(C17:F17)/2,0)</f>
        <v>32970975</v>
      </c>
      <c r="H17" s="780"/>
      <c r="I17" s="780">
        <f t="shared" ref="I17:I74" si="3">(M17+Q17)/2</f>
        <v>13645746.5</v>
      </c>
      <c r="J17" s="780">
        <f t="shared" ref="J17:J74" si="4">(N17+R17)/2</f>
        <v>11686097.5</v>
      </c>
      <c r="K17" s="780">
        <f t="shared" ref="K17:K74" si="5">(O17+S17)/2</f>
        <v>7639131</v>
      </c>
      <c r="L17" s="780"/>
      <c r="M17" s="621"/>
      <c r="N17" s="621"/>
      <c r="O17" s="621"/>
      <c r="P17" s="780"/>
      <c r="Q17" s="621">
        <v>27291493</v>
      </c>
      <c r="R17" s="621">
        <v>23372195</v>
      </c>
      <c r="S17" s="621">
        <v>15278262</v>
      </c>
    </row>
    <row r="18" spans="1:19">
      <c r="A18" s="796">
        <f>A17+0.01</f>
        <v>2.0199999999999996</v>
      </c>
      <c r="B18" s="621" t="s">
        <v>1476</v>
      </c>
      <c r="C18" s="780">
        <f t="shared" ref="C18" si="6">SUM(M18:O18)</f>
        <v>0</v>
      </c>
      <c r="D18" s="780">
        <f t="shared" ref="D18" si="7">SUM(Q18:S18)</f>
        <v>6417073</v>
      </c>
      <c r="E18" s="780"/>
      <c r="F18" s="780"/>
      <c r="G18" s="780">
        <f t="shared" ref="G18" si="8">ROUND(SUM(C18:F18)/2,0)</f>
        <v>3208537</v>
      </c>
      <c r="H18" s="780"/>
      <c r="I18" s="780">
        <f t="shared" ref="I18" si="9">(M18+Q18)/2</f>
        <v>117417</v>
      </c>
      <c r="J18" s="780">
        <f t="shared" ref="J18" si="10">(N18+R18)/2</f>
        <v>2757450</v>
      </c>
      <c r="K18" s="780">
        <f t="shared" ref="K18" si="11">(O18+S18)/2</f>
        <v>333669.5</v>
      </c>
      <c r="L18" s="780"/>
      <c r="M18" s="621"/>
      <c r="N18" s="621"/>
      <c r="O18" s="621"/>
      <c r="P18" s="780"/>
      <c r="Q18" s="621">
        <v>234834</v>
      </c>
      <c r="R18" s="621">
        <v>5514900</v>
      </c>
      <c r="S18" s="621">
        <v>667339</v>
      </c>
    </row>
    <row r="19" spans="1:19">
      <c r="A19" s="796">
        <f t="shared" ref="A19:A24" si="12">A18+0.01</f>
        <v>2.0299999999999994</v>
      </c>
      <c r="B19" s="621" t="s">
        <v>1250</v>
      </c>
      <c r="C19" s="780">
        <f t="shared" ref="C19:C20" si="13">SUM(M19:O19)</f>
        <v>60556.750000000007</v>
      </c>
      <c r="D19" s="780">
        <f t="shared" ref="D19:D20" si="14">SUM(Q19:S19)</f>
        <v>-0.21</v>
      </c>
      <c r="E19" s="780"/>
      <c r="F19" s="780"/>
      <c r="G19" s="780">
        <f t="shared" ref="G19:G20" si="15">ROUND(SUM(C19:F19)/2,0)</f>
        <v>30278</v>
      </c>
      <c r="H19" s="780"/>
      <c r="I19" s="780">
        <f t="shared" ref="I19:I20" si="16">(M19+Q19)/2</f>
        <v>22204.83</v>
      </c>
      <c r="J19" s="780">
        <f t="shared" ref="J19:J20" si="17">(N19+R19)/2</f>
        <v>-0.19</v>
      </c>
      <c r="K19" s="780">
        <f t="shared" ref="K19:K20" si="18">(O19+S19)/2</f>
        <v>8073.63</v>
      </c>
      <c r="L19" s="780"/>
      <c r="M19" s="621">
        <v>44409.66</v>
      </c>
      <c r="N19" s="621">
        <v>-0.17</v>
      </c>
      <c r="O19" s="621">
        <v>16147.26</v>
      </c>
      <c r="P19" s="780"/>
      <c r="Q19" s="621">
        <v>0</v>
      </c>
      <c r="R19" s="621">
        <v>-0.21</v>
      </c>
      <c r="S19" s="621">
        <v>0</v>
      </c>
    </row>
    <row r="20" spans="1:19">
      <c r="A20" s="796">
        <f t="shared" si="12"/>
        <v>2.0399999999999991</v>
      </c>
      <c r="B20" s="621" t="s">
        <v>1477</v>
      </c>
      <c r="C20" s="780">
        <f t="shared" si="13"/>
        <v>0</v>
      </c>
      <c r="D20" s="780">
        <f t="shared" si="14"/>
        <v>10511655.219999999</v>
      </c>
      <c r="E20" s="780"/>
      <c r="F20" s="780"/>
      <c r="G20" s="780">
        <f t="shared" si="15"/>
        <v>5255828</v>
      </c>
      <c r="H20" s="780"/>
      <c r="I20" s="780">
        <f t="shared" si="16"/>
        <v>1222039.635</v>
      </c>
      <c r="J20" s="780">
        <f t="shared" si="17"/>
        <v>2866727.665</v>
      </c>
      <c r="K20" s="780">
        <f t="shared" si="18"/>
        <v>1167060.31</v>
      </c>
      <c r="L20" s="780"/>
      <c r="M20" s="621"/>
      <c r="N20" s="621"/>
      <c r="O20" s="621"/>
      <c r="P20" s="780"/>
      <c r="Q20" s="621">
        <v>2444079.27</v>
      </c>
      <c r="R20" s="621">
        <v>5733455.3300000001</v>
      </c>
      <c r="S20" s="621">
        <v>2334120.62</v>
      </c>
    </row>
    <row r="21" spans="1:19">
      <c r="A21" s="796">
        <f t="shared" si="12"/>
        <v>2.0499999999999989</v>
      </c>
      <c r="B21" s="621" t="s">
        <v>1251</v>
      </c>
      <c r="C21" s="780">
        <f t="shared" si="0"/>
        <v>0</v>
      </c>
      <c r="D21" s="780">
        <f t="shared" si="1"/>
        <v>0</v>
      </c>
      <c r="E21" s="780"/>
      <c r="F21" s="780"/>
      <c r="G21" s="780">
        <f t="shared" si="2"/>
        <v>0</v>
      </c>
      <c r="H21" s="780"/>
      <c r="I21" s="780">
        <f t="shared" si="3"/>
        <v>0</v>
      </c>
      <c r="J21" s="780">
        <f t="shared" si="4"/>
        <v>0</v>
      </c>
      <c r="K21" s="780">
        <f t="shared" si="5"/>
        <v>0</v>
      </c>
      <c r="L21" s="780"/>
      <c r="M21" s="621">
        <v>0</v>
      </c>
      <c r="N21" s="621">
        <v>0</v>
      </c>
      <c r="O21" s="621">
        <v>0</v>
      </c>
      <c r="P21" s="780"/>
      <c r="Q21" s="621"/>
      <c r="R21" s="621"/>
      <c r="S21" s="621"/>
    </row>
    <row r="22" spans="1:19">
      <c r="A22" s="796">
        <f t="shared" si="12"/>
        <v>2.0599999999999987</v>
      </c>
      <c r="B22" s="621" t="s">
        <v>1252</v>
      </c>
      <c r="C22" s="780">
        <f t="shared" si="0"/>
        <v>137139787.31999999</v>
      </c>
      <c r="D22" s="780">
        <f t="shared" si="1"/>
        <v>-38527580.18</v>
      </c>
      <c r="E22" s="780"/>
      <c r="F22" s="780"/>
      <c r="G22" s="780">
        <f t="shared" si="2"/>
        <v>49306104</v>
      </c>
      <c r="H22" s="780"/>
      <c r="I22" s="780">
        <f t="shared" si="3"/>
        <v>0</v>
      </c>
      <c r="J22" s="780">
        <f t="shared" si="4"/>
        <v>0</v>
      </c>
      <c r="K22" s="780">
        <f t="shared" si="5"/>
        <v>49306103.569999993</v>
      </c>
      <c r="L22" s="780"/>
      <c r="M22" s="621"/>
      <c r="N22" s="621"/>
      <c r="O22" s="621">
        <v>137139787.31999999</v>
      </c>
      <c r="P22" s="780"/>
      <c r="Q22" s="621"/>
      <c r="R22" s="621"/>
      <c r="S22" s="621">
        <v>-38527580.18</v>
      </c>
    </row>
    <row r="23" spans="1:19">
      <c r="A23" s="796">
        <f t="shared" si="12"/>
        <v>2.0699999999999985</v>
      </c>
      <c r="B23" s="621" t="s">
        <v>1253</v>
      </c>
      <c r="C23" s="780">
        <f t="shared" si="0"/>
        <v>-137139787.31999999</v>
      </c>
      <c r="D23" s="780">
        <f t="shared" si="1"/>
        <v>38527580.18</v>
      </c>
      <c r="E23" s="780"/>
      <c r="F23" s="780"/>
      <c r="G23" s="780">
        <f t="shared" si="2"/>
        <v>-49306104</v>
      </c>
      <c r="H23" s="780"/>
      <c r="I23" s="780">
        <f t="shared" si="3"/>
        <v>0</v>
      </c>
      <c r="J23" s="780">
        <f t="shared" si="4"/>
        <v>0</v>
      </c>
      <c r="K23" s="780">
        <f t="shared" si="5"/>
        <v>-49306103.569999993</v>
      </c>
      <c r="L23" s="780"/>
      <c r="M23" s="621"/>
      <c r="N23" s="621"/>
      <c r="O23" s="621">
        <v>-137139787.31999999</v>
      </c>
      <c r="P23" s="780"/>
      <c r="Q23" s="621"/>
      <c r="R23" s="621"/>
      <c r="S23" s="621">
        <v>38527580.18</v>
      </c>
    </row>
    <row r="24" spans="1:19">
      <c r="A24" s="796">
        <f t="shared" si="12"/>
        <v>2.0799999999999983</v>
      </c>
      <c r="B24" s="621" t="s">
        <v>1254</v>
      </c>
      <c r="C24" s="780">
        <f t="shared" si="0"/>
        <v>-44198.87</v>
      </c>
      <c r="D24" s="780">
        <f t="shared" si="1"/>
        <v>-44198.87</v>
      </c>
      <c r="E24" s="780"/>
      <c r="F24" s="780"/>
      <c r="G24" s="780">
        <f t="shared" si="2"/>
        <v>-44199</v>
      </c>
      <c r="H24" s="780"/>
      <c r="I24" s="780">
        <f t="shared" si="3"/>
        <v>-44198.87</v>
      </c>
      <c r="J24" s="780">
        <f t="shared" si="4"/>
        <v>0</v>
      </c>
      <c r="K24" s="780">
        <f t="shared" si="5"/>
        <v>0</v>
      </c>
      <c r="L24" s="780"/>
      <c r="M24" s="621">
        <v>-44198.87</v>
      </c>
      <c r="N24" s="621"/>
      <c r="O24" s="621"/>
      <c r="P24" s="780"/>
      <c r="Q24" s="621">
        <v>-44198.87</v>
      </c>
      <c r="R24" s="621"/>
      <c r="S24" s="621"/>
    </row>
    <row r="25" spans="1:19">
      <c r="A25" s="796">
        <f t="shared" ref="A25:A35" si="19">A24+0.01</f>
        <v>2.0899999999999981</v>
      </c>
      <c r="B25" s="621" t="s">
        <v>1255</v>
      </c>
      <c r="C25" s="780">
        <f t="shared" si="0"/>
        <v>-13664197.890000001</v>
      </c>
      <c r="D25" s="780">
        <f t="shared" si="1"/>
        <v>-13664197.890000001</v>
      </c>
      <c r="E25" s="780"/>
      <c r="F25" s="780"/>
      <c r="G25" s="780">
        <f t="shared" si="2"/>
        <v>-13664198</v>
      </c>
      <c r="H25" s="780"/>
      <c r="I25" s="780">
        <f t="shared" si="3"/>
        <v>-9453976.1400000006</v>
      </c>
      <c r="J25" s="780">
        <f t="shared" si="4"/>
        <v>-1890903</v>
      </c>
      <c r="K25" s="780">
        <f t="shared" si="5"/>
        <v>-2319318.75</v>
      </c>
      <c r="L25" s="780"/>
      <c r="M25" s="621">
        <v>-9453976.1400000006</v>
      </c>
      <c r="N25" s="621">
        <v>-1890903</v>
      </c>
      <c r="O25" s="621">
        <v>-2319318.75</v>
      </c>
      <c r="P25" s="780"/>
      <c r="Q25" s="621">
        <v>-9453976.1400000006</v>
      </c>
      <c r="R25" s="621">
        <v>-1890903</v>
      </c>
      <c r="S25" s="621">
        <v>-2319318.75</v>
      </c>
    </row>
    <row r="26" spans="1:19">
      <c r="A26" s="796">
        <f t="shared" si="19"/>
        <v>2.0999999999999979</v>
      </c>
      <c r="B26" s="621" t="s">
        <v>1256</v>
      </c>
      <c r="C26" s="780">
        <f t="shared" si="0"/>
        <v>17420354</v>
      </c>
      <c r="D26" s="780">
        <f t="shared" si="1"/>
        <v>17047808.289999999</v>
      </c>
      <c r="E26" s="780"/>
      <c r="F26" s="780"/>
      <c r="G26" s="780">
        <f t="shared" si="2"/>
        <v>17234081</v>
      </c>
      <c r="H26" s="780"/>
      <c r="I26" s="780">
        <f t="shared" si="3"/>
        <v>10805785.279999999</v>
      </c>
      <c r="J26" s="780">
        <f t="shared" si="4"/>
        <v>2829085.88</v>
      </c>
      <c r="K26" s="780">
        <f t="shared" si="5"/>
        <v>3599209.9849999999</v>
      </c>
      <c r="L26" s="780"/>
      <c r="M26" s="621">
        <v>10876314.449999999</v>
      </c>
      <c r="N26" s="621">
        <v>2878052.63</v>
      </c>
      <c r="O26" s="621">
        <v>3665986.92</v>
      </c>
      <c r="P26" s="780"/>
      <c r="Q26" s="621">
        <v>10735256.109999999</v>
      </c>
      <c r="R26" s="621">
        <v>2780119.13</v>
      </c>
      <c r="S26" s="621">
        <v>3532433.05</v>
      </c>
    </row>
    <row r="27" spans="1:19">
      <c r="A27" s="796">
        <f t="shared" si="19"/>
        <v>2.1099999999999977</v>
      </c>
      <c r="B27" s="621" t="s">
        <v>1257</v>
      </c>
      <c r="C27" s="780">
        <f t="shared" si="0"/>
        <v>534911.79</v>
      </c>
      <c r="D27" s="780">
        <f t="shared" si="1"/>
        <v>534911.79</v>
      </c>
      <c r="E27" s="780"/>
      <c r="F27" s="780"/>
      <c r="G27" s="780">
        <f t="shared" si="2"/>
        <v>534912</v>
      </c>
      <c r="H27" s="780"/>
      <c r="I27" s="780">
        <f t="shared" si="3"/>
        <v>534911.79</v>
      </c>
      <c r="J27" s="780">
        <f t="shared" si="4"/>
        <v>0</v>
      </c>
      <c r="K27" s="780">
        <f t="shared" si="5"/>
        <v>0</v>
      </c>
      <c r="L27" s="780"/>
      <c r="M27" s="621">
        <v>534911.79</v>
      </c>
      <c r="N27" s="621"/>
      <c r="O27" s="621"/>
      <c r="P27" s="780"/>
      <c r="Q27" s="621">
        <v>534911.79</v>
      </c>
      <c r="R27" s="621"/>
      <c r="S27" s="621"/>
    </row>
    <row r="28" spans="1:19">
      <c r="A28" s="796">
        <f t="shared" si="19"/>
        <v>2.1199999999999974</v>
      </c>
      <c r="B28" s="621" t="s">
        <v>1258</v>
      </c>
      <c r="C28" s="780">
        <f t="shared" si="0"/>
        <v>298320.12</v>
      </c>
      <c r="D28" s="780">
        <f t="shared" si="1"/>
        <v>298320.12</v>
      </c>
      <c r="E28" s="780"/>
      <c r="F28" s="780"/>
      <c r="G28" s="780">
        <f t="shared" si="2"/>
        <v>298320</v>
      </c>
      <c r="H28" s="780"/>
      <c r="I28" s="780">
        <f t="shared" si="3"/>
        <v>298320.12</v>
      </c>
      <c r="J28" s="780">
        <f t="shared" si="4"/>
        <v>0</v>
      </c>
      <c r="K28" s="780">
        <f t="shared" si="5"/>
        <v>0</v>
      </c>
      <c r="L28" s="780"/>
      <c r="M28" s="621">
        <v>298320.12</v>
      </c>
      <c r="N28" s="621"/>
      <c r="O28" s="621"/>
      <c r="P28" s="780"/>
      <c r="Q28" s="621">
        <v>298320.12</v>
      </c>
      <c r="R28" s="621"/>
      <c r="S28" s="621"/>
    </row>
    <row r="29" spans="1:19">
      <c r="A29" s="796">
        <f t="shared" si="19"/>
        <v>2.1299999999999972</v>
      </c>
      <c r="B29" s="621" t="s">
        <v>1259</v>
      </c>
      <c r="C29" s="780">
        <f t="shared" si="0"/>
        <v>906213.62</v>
      </c>
      <c r="D29" s="780">
        <f t="shared" si="1"/>
        <v>906213.62</v>
      </c>
      <c r="E29" s="780"/>
      <c r="F29" s="780"/>
      <c r="G29" s="780">
        <f t="shared" si="2"/>
        <v>906214</v>
      </c>
      <c r="H29" s="780"/>
      <c r="I29" s="780">
        <f t="shared" si="3"/>
        <v>906213.62</v>
      </c>
      <c r="J29" s="780">
        <f t="shared" si="4"/>
        <v>0</v>
      </c>
      <c r="K29" s="780">
        <f t="shared" si="5"/>
        <v>0</v>
      </c>
      <c r="L29" s="780"/>
      <c r="M29" s="621">
        <v>906213.62</v>
      </c>
      <c r="N29" s="621"/>
      <c r="O29" s="621"/>
      <c r="P29" s="780"/>
      <c r="Q29" s="621">
        <v>906213.62</v>
      </c>
      <c r="R29" s="621"/>
      <c r="S29" s="621"/>
    </row>
    <row r="30" spans="1:19">
      <c r="A30" s="796">
        <f t="shared" si="19"/>
        <v>2.139999999999997</v>
      </c>
      <c r="B30" s="621" t="s">
        <v>1478</v>
      </c>
      <c r="C30" s="780">
        <f t="shared" ref="C30" si="20">SUM(M30:O30)</f>
        <v>0</v>
      </c>
      <c r="D30" s="780">
        <f t="shared" ref="D30" si="21">SUM(Q30:S30)</f>
        <v>-0.63</v>
      </c>
      <c r="E30" s="780"/>
      <c r="F30" s="780"/>
      <c r="G30" s="780">
        <f t="shared" ref="G30" si="22">ROUND(SUM(C30:F30)/2,0)</f>
        <v>0</v>
      </c>
      <c r="H30" s="780"/>
      <c r="I30" s="780">
        <f t="shared" ref="I30" si="23">(M30+Q30)/2</f>
        <v>0</v>
      </c>
      <c r="J30" s="780">
        <f t="shared" ref="J30" si="24">(N30+R30)/2</f>
        <v>0</v>
      </c>
      <c r="K30" s="780">
        <f t="shared" ref="K30" si="25">(O30+S30)/2</f>
        <v>-0.315</v>
      </c>
      <c r="L30" s="780"/>
      <c r="M30" s="621"/>
      <c r="N30" s="621"/>
      <c r="O30" s="621"/>
      <c r="P30" s="780"/>
      <c r="Q30" s="621"/>
      <c r="R30" s="621"/>
      <c r="S30" s="621">
        <v>-0.63</v>
      </c>
    </row>
    <row r="31" spans="1:19">
      <c r="A31" s="796">
        <f t="shared" si="19"/>
        <v>2.1499999999999968</v>
      </c>
      <c r="B31" s="621" t="s">
        <v>1260</v>
      </c>
      <c r="C31" s="780">
        <f t="shared" si="0"/>
        <v>6762176.3300000001</v>
      </c>
      <c r="D31" s="780">
        <f t="shared" si="1"/>
        <v>7458709.6099999994</v>
      </c>
      <c r="E31" s="780"/>
      <c r="F31" s="780"/>
      <c r="G31" s="780">
        <f t="shared" si="2"/>
        <v>7110443</v>
      </c>
      <c r="H31" s="780"/>
      <c r="I31" s="780">
        <f t="shared" si="3"/>
        <v>2850642.96</v>
      </c>
      <c r="J31" s="780">
        <f t="shared" si="4"/>
        <v>1315563.665</v>
      </c>
      <c r="K31" s="780">
        <f t="shared" si="5"/>
        <v>2944236.3449999997</v>
      </c>
      <c r="L31" s="780"/>
      <c r="M31" s="621">
        <v>2715850.94</v>
      </c>
      <c r="N31" s="621">
        <v>1251499.22</v>
      </c>
      <c r="O31" s="621">
        <v>2794826.17</v>
      </c>
      <c r="P31" s="780"/>
      <c r="Q31" s="621">
        <v>2985434.98</v>
      </c>
      <c r="R31" s="621">
        <v>1379628.1099999999</v>
      </c>
      <c r="S31" s="621">
        <v>3093646.52</v>
      </c>
    </row>
    <row r="32" spans="1:19">
      <c r="A32" s="796">
        <f t="shared" si="19"/>
        <v>2.1599999999999966</v>
      </c>
      <c r="B32" s="621" t="s">
        <v>1261</v>
      </c>
      <c r="C32" s="780">
        <f t="shared" si="0"/>
        <v>4088574.14</v>
      </c>
      <c r="D32" s="780">
        <f t="shared" si="1"/>
        <v>4329573.16</v>
      </c>
      <c r="E32" s="780"/>
      <c r="F32" s="780"/>
      <c r="G32" s="780">
        <f t="shared" si="2"/>
        <v>4209074</v>
      </c>
      <c r="H32" s="780"/>
      <c r="I32" s="780">
        <f t="shared" si="3"/>
        <v>0</v>
      </c>
      <c r="J32" s="780">
        <f t="shared" si="4"/>
        <v>0</v>
      </c>
      <c r="K32" s="780">
        <f t="shared" si="5"/>
        <v>4209073.6500000004</v>
      </c>
      <c r="L32" s="780"/>
      <c r="M32" s="621"/>
      <c r="N32" s="621"/>
      <c r="O32" s="621">
        <v>4088574.14</v>
      </c>
      <c r="P32" s="780"/>
      <c r="Q32" s="621"/>
      <c r="R32" s="621"/>
      <c r="S32" s="621">
        <v>4329573.16</v>
      </c>
    </row>
    <row r="33" spans="1:19">
      <c r="A33" s="796">
        <f t="shared" si="19"/>
        <v>2.1699999999999964</v>
      </c>
      <c r="B33" s="621" t="s">
        <v>1262</v>
      </c>
      <c r="C33" s="780">
        <f t="shared" si="0"/>
        <v>0</v>
      </c>
      <c r="D33" s="780">
        <f t="shared" si="1"/>
        <v>0</v>
      </c>
      <c r="E33" s="780"/>
      <c r="F33" s="780"/>
      <c r="G33" s="780">
        <f t="shared" si="2"/>
        <v>0</v>
      </c>
      <c r="H33" s="780"/>
      <c r="I33" s="780">
        <f t="shared" si="3"/>
        <v>0</v>
      </c>
      <c r="J33" s="780">
        <f t="shared" si="4"/>
        <v>0</v>
      </c>
      <c r="K33" s="780">
        <f t="shared" si="5"/>
        <v>0</v>
      </c>
      <c r="L33" s="780"/>
      <c r="M33" s="621"/>
      <c r="N33" s="621"/>
      <c r="O33" s="621"/>
      <c r="P33" s="780"/>
      <c r="Q33" s="621"/>
      <c r="R33" s="621"/>
      <c r="S33" s="621"/>
    </row>
    <row r="34" spans="1:19">
      <c r="A34" s="796">
        <f t="shared" si="19"/>
        <v>2.1799999999999962</v>
      </c>
      <c r="B34" s="621" t="s">
        <v>1263</v>
      </c>
      <c r="C34" s="780">
        <f t="shared" si="0"/>
        <v>0</v>
      </c>
      <c r="D34" s="780">
        <f t="shared" si="1"/>
        <v>0</v>
      </c>
      <c r="E34" s="780"/>
      <c r="F34" s="780"/>
      <c r="G34" s="780">
        <f t="shared" si="2"/>
        <v>0</v>
      </c>
      <c r="H34" s="780"/>
      <c r="I34" s="780">
        <f t="shared" si="3"/>
        <v>0</v>
      </c>
      <c r="J34" s="780">
        <f t="shared" si="4"/>
        <v>0</v>
      </c>
      <c r="K34" s="780">
        <f t="shared" si="5"/>
        <v>0</v>
      </c>
      <c r="L34" s="780"/>
      <c r="M34" s="621"/>
      <c r="N34" s="621"/>
      <c r="O34" s="621"/>
      <c r="P34" s="780"/>
      <c r="Q34" s="621"/>
      <c r="R34" s="621"/>
      <c r="S34" s="621"/>
    </row>
    <row r="35" spans="1:19">
      <c r="A35" s="796">
        <f t="shared" si="19"/>
        <v>2.1899999999999959</v>
      </c>
      <c r="B35" s="621" t="s">
        <v>1264</v>
      </c>
      <c r="C35" s="780">
        <f t="shared" si="0"/>
        <v>3251.64</v>
      </c>
      <c r="D35" s="780">
        <f t="shared" si="1"/>
        <v>-13984.53</v>
      </c>
      <c r="E35" s="780"/>
      <c r="F35" s="780"/>
      <c r="G35" s="780">
        <f t="shared" si="2"/>
        <v>-5366</v>
      </c>
      <c r="H35" s="780"/>
      <c r="I35" s="780">
        <f t="shared" si="3"/>
        <v>0</v>
      </c>
      <c r="J35" s="780">
        <f t="shared" si="4"/>
        <v>0</v>
      </c>
      <c r="K35" s="780">
        <f t="shared" si="5"/>
        <v>-5366.4450000000006</v>
      </c>
      <c r="L35" s="780"/>
      <c r="M35" s="621"/>
      <c r="N35" s="621"/>
      <c r="O35" s="621">
        <v>3251.64</v>
      </c>
      <c r="P35" s="780"/>
      <c r="Q35" s="621"/>
      <c r="R35" s="621"/>
      <c r="S35" s="621">
        <v>-13984.53</v>
      </c>
    </row>
    <row r="36" spans="1:19">
      <c r="A36" s="796">
        <f t="shared" ref="A36:A93" si="26">A35+0.01</f>
        <v>2.1999999999999957</v>
      </c>
      <c r="B36" s="621" t="s">
        <v>1265</v>
      </c>
      <c r="C36" s="780">
        <f t="shared" si="0"/>
        <v>54592.29</v>
      </c>
      <c r="D36" s="780">
        <f t="shared" si="1"/>
        <v>-169302.41</v>
      </c>
      <c r="E36" s="780"/>
      <c r="F36" s="780"/>
      <c r="G36" s="780">
        <f t="shared" si="2"/>
        <v>-57355</v>
      </c>
      <c r="H36" s="780"/>
      <c r="I36" s="780">
        <f t="shared" si="3"/>
        <v>20718.875</v>
      </c>
      <c r="J36" s="780">
        <f t="shared" si="4"/>
        <v>-2207.3049999999998</v>
      </c>
      <c r="K36" s="780">
        <f t="shared" si="5"/>
        <v>-75866.63</v>
      </c>
      <c r="L36" s="780"/>
      <c r="M36" s="621">
        <v>45084.56</v>
      </c>
      <c r="N36" s="621">
        <v>1561.76</v>
      </c>
      <c r="O36" s="621">
        <v>7945.97</v>
      </c>
      <c r="P36" s="780"/>
      <c r="Q36" s="621">
        <v>-3646.81</v>
      </c>
      <c r="R36" s="621">
        <v>-5976.37</v>
      </c>
      <c r="S36" s="621">
        <v>-159679.23000000001</v>
      </c>
    </row>
    <row r="37" spans="1:19">
      <c r="A37" s="796">
        <f t="shared" si="26"/>
        <v>2.2099999999999955</v>
      </c>
      <c r="B37" s="621" t="s">
        <v>1266</v>
      </c>
      <c r="C37" s="780">
        <f t="shared" si="0"/>
        <v>45866.65</v>
      </c>
      <c r="D37" s="780">
        <f t="shared" si="1"/>
        <v>118064.50000000001</v>
      </c>
      <c r="E37" s="780"/>
      <c r="F37" s="780"/>
      <c r="G37" s="780">
        <f t="shared" si="2"/>
        <v>81966</v>
      </c>
      <c r="H37" s="780"/>
      <c r="I37" s="780">
        <f t="shared" si="3"/>
        <v>7200.335</v>
      </c>
      <c r="J37" s="780">
        <f t="shared" si="4"/>
        <v>0</v>
      </c>
      <c r="K37" s="780">
        <f t="shared" si="5"/>
        <v>74765.240000000005</v>
      </c>
      <c r="L37" s="780"/>
      <c r="M37" s="621">
        <v>7649.18</v>
      </c>
      <c r="N37" s="621"/>
      <c r="O37" s="621">
        <v>38217.47</v>
      </c>
      <c r="P37" s="780"/>
      <c r="Q37" s="621">
        <v>6751.49</v>
      </c>
      <c r="R37" s="621"/>
      <c r="S37" s="621">
        <v>111313.01000000001</v>
      </c>
    </row>
    <row r="38" spans="1:19">
      <c r="A38" s="796">
        <f t="shared" si="26"/>
        <v>2.2199999999999953</v>
      </c>
      <c r="B38" s="621" t="s">
        <v>1267</v>
      </c>
      <c r="C38" s="780">
        <f t="shared" si="0"/>
        <v>-8629.9499999999989</v>
      </c>
      <c r="D38" s="780">
        <f t="shared" si="1"/>
        <v>-25383.75</v>
      </c>
      <c r="E38" s="780"/>
      <c r="F38" s="780"/>
      <c r="G38" s="780">
        <f t="shared" si="2"/>
        <v>-17007</v>
      </c>
      <c r="H38" s="780"/>
      <c r="I38" s="780">
        <f t="shared" si="3"/>
        <v>10361.505000000001</v>
      </c>
      <c r="J38" s="780">
        <f t="shared" si="4"/>
        <v>0.315</v>
      </c>
      <c r="K38" s="780">
        <f t="shared" si="5"/>
        <v>-27368.67</v>
      </c>
      <c r="L38" s="780"/>
      <c r="M38" s="621">
        <v>15790.95</v>
      </c>
      <c r="N38" s="621">
        <v>0.63</v>
      </c>
      <c r="O38" s="621">
        <v>-24421.53</v>
      </c>
      <c r="P38" s="780"/>
      <c r="Q38" s="621">
        <v>4932.0600000000004</v>
      </c>
      <c r="R38" s="621">
        <v>0</v>
      </c>
      <c r="S38" s="621">
        <v>-30315.81</v>
      </c>
    </row>
    <row r="39" spans="1:19">
      <c r="A39" s="796">
        <f t="shared" si="26"/>
        <v>2.2299999999999951</v>
      </c>
      <c r="B39" s="621" t="s">
        <v>1268</v>
      </c>
      <c r="C39" s="780">
        <f t="shared" si="0"/>
        <v>27861.46</v>
      </c>
      <c r="D39" s="780">
        <f t="shared" si="1"/>
        <v>32539.15</v>
      </c>
      <c r="E39" s="780"/>
      <c r="F39" s="780"/>
      <c r="G39" s="780">
        <f t="shared" si="2"/>
        <v>30200</v>
      </c>
      <c r="H39" s="780"/>
      <c r="I39" s="780">
        <f t="shared" si="3"/>
        <v>15969.545</v>
      </c>
      <c r="J39" s="780">
        <f t="shared" si="4"/>
        <v>0</v>
      </c>
      <c r="K39" s="780">
        <f t="shared" si="5"/>
        <v>14230.759999999998</v>
      </c>
      <c r="L39" s="780"/>
      <c r="M39" s="621">
        <v>16053.24</v>
      </c>
      <c r="N39" s="621"/>
      <c r="O39" s="621">
        <v>11808.22</v>
      </c>
      <c r="P39" s="780"/>
      <c r="Q39" s="621">
        <v>15885.85</v>
      </c>
      <c r="R39" s="621"/>
      <c r="S39" s="621">
        <v>16653.3</v>
      </c>
    </row>
    <row r="40" spans="1:19">
      <c r="A40" s="796">
        <f t="shared" si="26"/>
        <v>2.2399999999999949</v>
      </c>
      <c r="B40" s="621" t="s">
        <v>1269</v>
      </c>
      <c r="C40" s="780">
        <f t="shared" si="0"/>
        <v>0.21</v>
      </c>
      <c r="D40" s="780">
        <f t="shared" si="1"/>
        <v>0.21</v>
      </c>
      <c r="E40" s="780"/>
      <c r="F40" s="780"/>
      <c r="G40" s="780">
        <f t="shared" si="2"/>
        <v>0</v>
      </c>
      <c r="H40" s="780"/>
      <c r="I40" s="780">
        <f t="shared" si="3"/>
        <v>0</v>
      </c>
      <c r="J40" s="780">
        <f t="shared" si="4"/>
        <v>0</v>
      </c>
      <c r="K40" s="780">
        <f t="shared" si="5"/>
        <v>0.21</v>
      </c>
      <c r="L40" s="780"/>
      <c r="M40" s="621"/>
      <c r="N40" s="621"/>
      <c r="O40" s="621">
        <v>0.21</v>
      </c>
      <c r="P40" s="780"/>
      <c r="Q40" s="621"/>
      <c r="R40" s="621"/>
      <c r="S40" s="621">
        <v>0.21</v>
      </c>
    </row>
    <row r="41" spans="1:19">
      <c r="A41" s="796">
        <f t="shared" si="26"/>
        <v>2.2499999999999947</v>
      </c>
      <c r="B41" s="621" t="s">
        <v>1479</v>
      </c>
      <c r="C41" s="780">
        <f t="shared" ref="C41" si="27">SUM(M41:O41)</f>
        <v>0</v>
      </c>
      <c r="D41" s="780">
        <f t="shared" ref="D41" si="28">SUM(Q41:S41)</f>
        <v>18304.7</v>
      </c>
      <c r="E41" s="780"/>
      <c r="F41" s="780"/>
      <c r="G41" s="780">
        <f t="shared" ref="G41" si="29">ROUND(SUM(C41:F41)/2,0)</f>
        <v>9152</v>
      </c>
      <c r="H41" s="780"/>
      <c r="I41" s="780">
        <f t="shared" ref="I41" si="30">(M41+Q41)/2</f>
        <v>0</v>
      </c>
      <c r="J41" s="780">
        <f t="shared" ref="J41" si="31">(N41+R41)/2</f>
        <v>0</v>
      </c>
      <c r="K41" s="780">
        <f t="shared" ref="K41" si="32">(O41+S41)/2</f>
        <v>9152.35</v>
      </c>
      <c r="L41" s="780"/>
      <c r="M41" s="621"/>
      <c r="N41" s="621"/>
      <c r="O41" s="621"/>
      <c r="P41" s="780"/>
      <c r="Q41" s="621"/>
      <c r="R41" s="621"/>
      <c r="S41" s="621">
        <v>18304.7</v>
      </c>
    </row>
    <row r="42" spans="1:19">
      <c r="A42" s="796">
        <f t="shared" si="26"/>
        <v>2.2599999999999945</v>
      </c>
      <c r="B42" s="621" t="s">
        <v>1270</v>
      </c>
      <c r="C42" s="780">
        <f t="shared" si="0"/>
        <v>419208.08</v>
      </c>
      <c r="D42" s="780">
        <f t="shared" si="1"/>
        <v>400988.79</v>
      </c>
      <c r="E42" s="780"/>
      <c r="F42" s="780"/>
      <c r="G42" s="780">
        <f t="shared" si="2"/>
        <v>410098</v>
      </c>
      <c r="H42" s="780"/>
      <c r="I42" s="780">
        <f t="shared" si="3"/>
        <v>0</v>
      </c>
      <c r="J42" s="780">
        <f t="shared" si="4"/>
        <v>120.54</v>
      </c>
      <c r="K42" s="780">
        <f t="shared" si="5"/>
        <v>409977.89500000002</v>
      </c>
      <c r="L42" s="780"/>
      <c r="M42" s="621">
        <v>0</v>
      </c>
      <c r="N42" s="621">
        <v>120.54</v>
      </c>
      <c r="O42" s="621">
        <v>419087.54000000004</v>
      </c>
      <c r="P42" s="780"/>
      <c r="Q42" s="621"/>
      <c r="R42" s="621">
        <v>120.54</v>
      </c>
      <c r="S42" s="621">
        <v>400868.25</v>
      </c>
    </row>
    <row r="43" spans="1:19">
      <c r="A43" s="796">
        <f t="shared" si="26"/>
        <v>2.2699999999999942</v>
      </c>
      <c r="B43" s="621" t="s">
        <v>1271</v>
      </c>
      <c r="C43" s="780">
        <f t="shared" si="0"/>
        <v>2067656.97</v>
      </c>
      <c r="D43" s="780">
        <f t="shared" si="1"/>
        <v>4544025.91</v>
      </c>
      <c r="E43" s="780"/>
      <c r="F43" s="780"/>
      <c r="G43" s="780">
        <f t="shared" si="2"/>
        <v>3305841</v>
      </c>
      <c r="H43" s="780"/>
      <c r="I43" s="780">
        <f t="shared" si="3"/>
        <v>951086.07500000007</v>
      </c>
      <c r="J43" s="780">
        <f t="shared" si="4"/>
        <v>30025.725000000002</v>
      </c>
      <c r="K43" s="780">
        <f t="shared" si="5"/>
        <v>2324729.6399999997</v>
      </c>
      <c r="L43" s="780"/>
      <c r="M43" s="621">
        <v>612038.80000000005</v>
      </c>
      <c r="N43" s="621">
        <v>21410.25</v>
      </c>
      <c r="O43" s="621">
        <v>1434207.92</v>
      </c>
      <c r="P43" s="780"/>
      <c r="Q43" s="621">
        <v>1290133.3500000001</v>
      </c>
      <c r="R43" s="621">
        <v>38641.200000000004</v>
      </c>
      <c r="S43" s="621">
        <v>3215251.36</v>
      </c>
    </row>
    <row r="44" spans="1:19">
      <c r="A44" s="796">
        <f t="shared" si="26"/>
        <v>2.279999999999994</v>
      </c>
      <c r="B44" s="621" t="s">
        <v>1272</v>
      </c>
      <c r="C44" s="780">
        <f t="shared" si="0"/>
        <v>2520</v>
      </c>
      <c r="D44" s="780">
        <f t="shared" si="1"/>
        <v>5595.4500000000007</v>
      </c>
      <c r="E44" s="780"/>
      <c r="F44" s="780"/>
      <c r="G44" s="780">
        <f t="shared" si="2"/>
        <v>4058</v>
      </c>
      <c r="H44" s="780"/>
      <c r="I44" s="780">
        <f t="shared" si="3"/>
        <v>1537.7250000000001</v>
      </c>
      <c r="J44" s="780">
        <f t="shared" si="4"/>
        <v>0</v>
      </c>
      <c r="K44" s="780">
        <f t="shared" si="5"/>
        <v>2520</v>
      </c>
      <c r="L44" s="780"/>
      <c r="M44" s="621"/>
      <c r="N44" s="621"/>
      <c r="O44" s="621">
        <v>2520</v>
      </c>
      <c r="P44" s="780"/>
      <c r="Q44" s="621">
        <v>3075.4500000000003</v>
      </c>
      <c r="R44" s="621"/>
      <c r="S44" s="621">
        <v>2520</v>
      </c>
    </row>
    <row r="45" spans="1:19">
      <c r="A45" s="796">
        <f t="shared" si="26"/>
        <v>2.2899999999999938</v>
      </c>
      <c r="B45" s="621" t="s">
        <v>1273</v>
      </c>
      <c r="C45" s="780">
        <f t="shared" si="0"/>
        <v>2563492.7599999998</v>
      </c>
      <c r="D45" s="780">
        <f t="shared" si="1"/>
        <v>2742730.2199999997</v>
      </c>
      <c r="E45" s="780"/>
      <c r="F45" s="780"/>
      <c r="G45" s="780">
        <f t="shared" si="2"/>
        <v>2653111</v>
      </c>
      <c r="H45" s="780"/>
      <c r="I45" s="780">
        <f t="shared" si="3"/>
        <v>974486.31</v>
      </c>
      <c r="J45" s="780">
        <f t="shared" si="4"/>
        <v>33128.294999999998</v>
      </c>
      <c r="K45" s="780">
        <f t="shared" si="5"/>
        <v>1645496.885</v>
      </c>
      <c r="L45" s="780"/>
      <c r="M45" s="621">
        <v>964637.73</v>
      </c>
      <c r="N45" s="621">
        <v>25656.48</v>
      </c>
      <c r="O45" s="621">
        <v>1573198.55</v>
      </c>
      <c r="P45" s="780"/>
      <c r="Q45" s="621">
        <v>984334.89</v>
      </c>
      <c r="R45" s="621">
        <v>40600.11</v>
      </c>
      <c r="S45" s="621">
        <v>1717795.22</v>
      </c>
    </row>
    <row r="46" spans="1:19">
      <c r="A46" s="796">
        <f t="shared" si="26"/>
        <v>2.2999999999999936</v>
      </c>
      <c r="B46" s="621" t="s">
        <v>1274</v>
      </c>
      <c r="C46" s="780">
        <f t="shared" si="0"/>
        <v>-0.24</v>
      </c>
      <c r="D46" s="780">
        <f t="shared" si="1"/>
        <v>0</v>
      </c>
      <c r="E46" s="780"/>
      <c r="F46" s="780"/>
      <c r="G46" s="780">
        <f t="shared" si="2"/>
        <v>0</v>
      </c>
      <c r="H46" s="780"/>
      <c r="I46" s="780">
        <f t="shared" si="3"/>
        <v>-6.5000000000000002E-2</v>
      </c>
      <c r="J46" s="780">
        <f t="shared" si="4"/>
        <v>0</v>
      </c>
      <c r="K46" s="780">
        <f t="shared" si="5"/>
        <v>-5.5E-2</v>
      </c>
      <c r="L46" s="780"/>
      <c r="M46" s="621">
        <v>-0.13</v>
      </c>
      <c r="N46" s="621"/>
      <c r="O46" s="621">
        <v>-0.11</v>
      </c>
      <c r="P46" s="780"/>
      <c r="Q46" s="621">
        <v>0</v>
      </c>
      <c r="R46" s="621"/>
      <c r="S46" s="621">
        <v>0</v>
      </c>
    </row>
    <row r="47" spans="1:19">
      <c r="A47" s="796">
        <f t="shared" si="26"/>
        <v>2.3099999999999934</v>
      </c>
      <c r="B47" s="621" t="s">
        <v>1275</v>
      </c>
      <c r="C47" s="780">
        <f t="shared" si="0"/>
        <v>148125.90000000002</v>
      </c>
      <c r="D47" s="780">
        <f t="shared" si="1"/>
        <v>198531.58</v>
      </c>
      <c r="E47" s="780"/>
      <c r="F47" s="780"/>
      <c r="G47" s="780">
        <f t="shared" si="2"/>
        <v>173329</v>
      </c>
      <c r="H47" s="780"/>
      <c r="I47" s="780">
        <f t="shared" si="3"/>
        <v>1132.395</v>
      </c>
      <c r="J47" s="780">
        <f t="shared" si="4"/>
        <v>0</v>
      </c>
      <c r="K47" s="780">
        <f t="shared" si="5"/>
        <v>172196.345</v>
      </c>
      <c r="L47" s="780"/>
      <c r="M47" s="621">
        <v>178.89000000000001</v>
      </c>
      <c r="N47" s="621"/>
      <c r="O47" s="621">
        <v>147947.01</v>
      </c>
      <c r="P47" s="780"/>
      <c r="Q47" s="621">
        <v>2085.9</v>
      </c>
      <c r="R47" s="621"/>
      <c r="S47" s="621">
        <v>196445.68</v>
      </c>
    </row>
    <row r="48" spans="1:19">
      <c r="A48" s="796">
        <f t="shared" si="26"/>
        <v>2.3199999999999932</v>
      </c>
      <c r="B48" s="621" t="s">
        <v>1276</v>
      </c>
      <c r="C48" s="780">
        <f t="shared" si="0"/>
        <v>-0.01</v>
      </c>
      <c r="D48" s="780">
        <f t="shared" si="1"/>
        <v>0</v>
      </c>
      <c r="E48" s="780"/>
      <c r="F48" s="780"/>
      <c r="G48" s="780">
        <f t="shared" si="2"/>
        <v>0</v>
      </c>
      <c r="H48" s="780"/>
      <c r="I48" s="780">
        <f t="shared" si="3"/>
        <v>0</v>
      </c>
      <c r="J48" s="780">
        <f t="shared" si="4"/>
        <v>0</v>
      </c>
      <c r="K48" s="780">
        <f t="shared" si="5"/>
        <v>-5.0000000000000001E-3</v>
      </c>
      <c r="L48" s="780"/>
      <c r="M48" s="621"/>
      <c r="N48" s="621"/>
      <c r="O48" s="621">
        <v>-0.01</v>
      </c>
      <c r="P48" s="780"/>
      <c r="Q48" s="621"/>
      <c r="R48" s="621"/>
      <c r="S48" s="621">
        <v>0</v>
      </c>
    </row>
    <row r="49" spans="1:19">
      <c r="A49" s="796">
        <f t="shared" si="26"/>
        <v>2.329999999999993</v>
      </c>
      <c r="B49" s="621" t="s">
        <v>1277</v>
      </c>
      <c r="C49" s="780">
        <f t="shared" si="0"/>
        <v>47426.64</v>
      </c>
      <c r="D49" s="780">
        <f t="shared" si="1"/>
        <v>-0.19999999999999998</v>
      </c>
      <c r="E49" s="780"/>
      <c r="F49" s="780"/>
      <c r="G49" s="780">
        <f t="shared" si="2"/>
        <v>23713</v>
      </c>
      <c r="H49" s="780"/>
      <c r="I49" s="780">
        <f t="shared" si="3"/>
        <v>23713.21</v>
      </c>
      <c r="J49" s="780">
        <f t="shared" si="4"/>
        <v>0</v>
      </c>
      <c r="K49" s="780">
        <f t="shared" si="5"/>
        <v>0.01</v>
      </c>
      <c r="L49" s="780"/>
      <c r="M49" s="621">
        <v>47426.63</v>
      </c>
      <c r="N49" s="621"/>
      <c r="O49" s="621">
        <v>0.01</v>
      </c>
      <c r="P49" s="780"/>
      <c r="Q49" s="621">
        <v>-0.21</v>
      </c>
      <c r="R49" s="621"/>
      <c r="S49" s="621">
        <v>0.01</v>
      </c>
    </row>
    <row r="50" spans="1:19">
      <c r="A50" s="796">
        <f t="shared" si="26"/>
        <v>2.3399999999999928</v>
      </c>
      <c r="B50" s="621" t="s">
        <v>1278</v>
      </c>
      <c r="C50" s="780">
        <f t="shared" si="0"/>
        <v>0.32999999999999996</v>
      </c>
      <c r="D50" s="780">
        <f t="shared" si="1"/>
        <v>0.32999999999999996</v>
      </c>
      <c r="E50" s="780"/>
      <c r="F50" s="780"/>
      <c r="G50" s="780">
        <f t="shared" si="2"/>
        <v>0</v>
      </c>
      <c r="H50" s="780"/>
      <c r="I50" s="780">
        <f t="shared" si="3"/>
        <v>0</v>
      </c>
      <c r="J50" s="780">
        <f t="shared" si="4"/>
        <v>0.18</v>
      </c>
      <c r="K50" s="780">
        <f t="shared" si="5"/>
        <v>0.15</v>
      </c>
      <c r="L50" s="780"/>
      <c r="M50" s="621"/>
      <c r="N50" s="621">
        <v>0.18</v>
      </c>
      <c r="O50" s="621">
        <v>0.15</v>
      </c>
      <c r="P50" s="780"/>
      <c r="Q50" s="621"/>
      <c r="R50" s="621">
        <v>0.18</v>
      </c>
      <c r="S50" s="621">
        <v>0.15</v>
      </c>
    </row>
    <row r="51" spans="1:19">
      <c r="A51" s="796">
        <f t="shared" si="26"/>
        <v>2.3499999999999925</v>
      </c>
      <c r="B51" s="621" t="s">
        <v>1279</v>
      </c>
      <c r="C51" s="780">
        <f t="shared" si="0"/>
        <v>0.01</v>
      </c>
      <c r="D51" s="780">
        <f t="shared" si="1"/>
        <v>0</v>
      </c>
      <c r="E51" s="780"/>
      <c r="F51" s="780"/>
      <c r="G51" s="780">
        <f t="shared" si="2"/>
        <v>0</v>
      </c>
      <c r="H51" s="780"/>
      <c r="I51" s="780">
        <f t="shared" si="3"/>
        <v>5.0000000000000001E-3</v>
      </c>
      <c r="J51" s="780">
        <f t="shared" si="4"/>
        <v>0</v>
      </c>
      <c r="K51" s="780">
        <f t="shared" si="5"/>
        <v>0</v>
      </c>
      <c r="L51" s="780"/>
      <c r="M51" s="621">
        <v>0.01</v>
      </c>
      <c r="N51" s="621"/>
      <c r="O51" s="621"/>
      <c r="P51" s="780"/>
      <c r="Q51" s="621">
        <v>0</v>
      </c>
      <c r="R51" s="621"/>
      <c r="S51" s="621"/>
    </row>
    <row r="52" spans="1:19">
      <c r="A52" s="796">
        <f t="shared" si="26"/>
        <v>2.3599999999999923</v>
      </c>
      <c r="B52" s="621" t="s">
        <v>1280</v>
      </c>
      <c r="C52" s="780">
        <f t="shared" si="0"/>
        <v>4009.28</v>
      </c>
      <c r="D52" s="780">
        <f t="shared" si="1"/>
        <v>4009.28</v>
      </c>
      <c r="E52" s="780"/>
      <c r="F52" s="780"/>
      <c r="G52" s="780">
        <f t="shared" si="2"/>
        <v>4009</v>
      </c>
      <c r="H52" s="780"/>
      <c r="I52" s="780">
        <f t="shared" si="3"/>
        <v>4009.28</v>
      </c>
      <c r="J52" s="780">
        <f t="shared" si="4"/>
        <v>0</v>
      </c>
      <c r="K52" s="780">
        <f t="shared" si="5"/>
        <v>0</v>
      </c>
      <c r="L52" s="780"/>
      <c r="M52" s="621">
        <v>4009.28</v>
      </c>
      <c r="N52" s="621"/>
      <c r="O52" s="621"/>
      <c r="P52" s="780"/>
      <c r="Q52" s="621">
        <v>4009.28</v>
      </c>
      <c r="R52" s="621"/>
      <c r="S52" s="621"/>
    </row>
    <row r="53" spans="1:19">
      <c r="A53" s="796">
        <f t="shared" si="26"/>
        <v>2.3699999999999921</v>
      </c>
      <c r="B53" s="621" t="s">
        <v>1281</v>
      </c>
      <c r="C53" s="780">
        <f t="shared" si="0"/>
        <v>-0.11</v>
      </c>
      <c r="D53" s="780">
        <f t="shared" si="1"/>
        <v>-0.11</v>
      </c>
      <c r="E53" s="780"/>
      <c r="F53" s="780"/>
      <c r="G53" s="780">
        <f t="shared" si="2"/>
        <v>0</v>
      </c>
      <c r="H53" s="780"/>
      <c r="I53" s="780">
        <f t="shared" si="3"/>
        <v>-0.11</v>
      </c>
      <c r="J53" s="780">
        <f t="shared" si="4"/>
        <v>0</v>
      </c>
      <c r="K53" s="780">
        <f t="shared" si="5"/>
        <v>0</v>
      </c>
      <c r="L53" s="780"/>
      <c r="M53" s="621">
        <v>-0.11</v>
      </c>
      <c r="N53" s="621"/>
      <c r="O53" s="621"/>
      <c r="P53" s="780"/>
      <c r="Q53" s="621">
        <v>-0.11</v>
      </c>
      <c r="R53" s="621"/>
      <c r="S53" s="621"/>
    </row>
    <row r="54" spans="1:19">
      <c r="A54" s="796">
        <f t="shared" si="26"/>
        <v>2.3799999999999919</v>
      </c>
      <c r="B54" s="621" t="s">
        <v>1282</v>
      </c>
      <c r="C54" s="780">
        <f t="shared" si="0"/>
        <v>125.94</v>
      </c>
      <c r="D54" s="780">
        <f t="shared" si="1"/>
        <v>0</v>
      </c>
      <c r="E54" s="780"/>
      <c r="F54" s="780"/>
      <c r="G54" s="780">
        <f t="shared" si="2"/>
        <v>63</v>
      </c>
      <c r="H54" s="780"/>
      <c r="I54" s="780">
        <f t="shared" si="3"/>
        <v>0</v>
      </c>
      <c r="J54" s="780">
        <f t="shared" si="4"/>
        <v>62.97</v>
      </c>
      <c r="K54" s="780">
        <f t="shared" si="5"/>
        <v>0</v>
      </c>
      <c r="L54" s="780"/>
      <c r="M54" s="621"/>
      <c r="N54" s="621">
        <v>125.94</v>
      </c>
      <c r="O54" s="621"/>
      <c r="P54" s="780"/>
      <c r="Q54" s="621"/>
      <c r="R54" s="621">
        <v>0</v>
      </c>
      <c r="S54" s="621"/>
    </row>
    <row r="55" spans="1:19">
      <c r="A55" s="796">
        <f t="shared" si="26"/>
        <v>2.3899999999999917</v>
      </c>
      <c r="B55" s="621" t="s">
        <v>1283</v>
      </c>
      <c r="C55" s="780">
        <f t="shared" si="0"/>
        <v>-0.21</v>
      </c>
      <c r="D55" s="780">
        <f t="shared" si="1"/>
        <v>-0.21</v>
      </c>
      <c r="E55" s="780"/>
      <c r="F55" s="780"/>
      <c r="G55" s="780">
        <f t="shared" si="2"/>
        <v>0</v>
      </c>
      <c r="H55" s="780"/>
      <c r="I55" s="780">
        <f t="shared" si="3"/>
        <v>0</v>
      </c>
      <c r="J55" s="780">
        <f t="shared" si="4"/>
        <v>0</v>
      </c>
      <c r="K55" s="780">
        <f t="shared" si="5"/>
        <v>-0.21</v>
      </c>
      <c r="L55" s="780"/>
      <c r="M55" s="621"/>
      <c r="N55" s="621"/>
      <c r="O55" s="621">
        <v>-0.21</v>
      </c>
      <c r="P55" s="780"/>
      <c r="Q55" s="621"/>
      <c r="R55" s="621"/>
      <c r="S55" s="621">
        <v>-0.21</v>
      </c>
    </row>
    <row r="56" spans="1:19">
      <c r="A56" s="796">
        <f t="shared" si="26"/>
        <v>2.3999999999999915</v>
      </c>
      <c r="B56" s="621" t="s">
        <v>1284</v>
      </c>
      <c r="C56" s="780">
        <f t="shared" si="0"/>
        <v>-0.1</v>
      </c>
      <c r="D56" s="780">
        <f t="shared" si="1"/>
        <v>0.01</v>
      </c>
      <c r="E56" s="780"/>
      <c r="F56" s="780"/>
      <c r="G56" s="780">
        <f t="shared" si="2"/>
        <v>0</v>
      </c>
      <c r="H56" s="780"/>
      <c r="I56" s="780">
        <f t="shared" si="3"/>
        <v>0</v>
      </c>
      <c r="J56" s="780">
        <f t="shared" si="4"/>
        <v>-4.5000000000000005E-2</v>
      </c>
      <c r="K56" s="780">
        <f t="shared" si="5"/>
        <v>0</v>
      </c>
      <c r="L56" s="780"/>
      <c r="M56" s="621"/>
      <c r="N56" s="621">
        <v>-0.1</v>
      </c>
      <c r="O56" s="621"/>
      <c r="P56" s="780"/>
      <c r="Q56" s="621"/>
      <c r="R56" s="621">
        <v>0.01</v>
      </c>
      <c r="S56" s="621"/>
    </row>
    <row r="57" spans="1:19">
      <c r="A57" s="796">
        <f t="shared" si="26"/>
        <v>2.4099999999999913</v>
      </c>
      <c r="B57" s="621" t="s">
        <v>1285</v>
      </c>
      <c r="C57" s="780">
        <f t="shared" si="0"/>
        <v>654975.62</v>
      </c>
      <c r="D57" s="780">
        <f t="shared" si="1"/>
        <v>492091.07</v>
      </c>
      <c r="E57" s="780"/>
      <c r="F57" s="780"/>
      <c r="G57" s="780">
        <f t="shared" si="2"/>
        <v>573533</v>
      </c>
      <c r="H57" s="780"/>
      <c r="I57" s="780">
        <f t="shared" si="3"/>
        <v>0</v>
      </c>
      <c r="J57" s="780">
        <f t="shared" si="4"/>
        <v>4366.9650000000001</v>
      </c>
      <c r="K57" s="780">
        <f t="shared" si="5"/>
        <v>569166.38</v>
      </c>
      <c r="L57" s="780"/>
      <c r="M57" s="621"/>
      <c r="N57" s="621">
        <v>4536.3900000000003</v>
      </c>
      <c r="O57" s="621">
        <v>650439.23</v>
      </c>
      <c r="P57" s="780"/>
      <c r="Q57" s="621"/>
      <c r="R57" s="621">
        <v>4197.54</v>
      </c>
      <c r="S57" s="621">
        <v>487893.53</v>
      </c>
    </row>
    <row r="58" spans="1:19">
      <c r="A58" s="796">
        <f t="shared" si="26"/>
        <v>2.419999999999991</v>
      </c>
      <c r="B58" s="621" t="s">
        <v>1286</v>
      </c>
      <c r="C58" s="780">
        <f t="shared" si="0"/>
        <v>0.13</v>
      </c>
      <c r="D58" s="780">
        <f t="shared" si="1"/>
        <v>0</v>
      </c>
      <c r="E58" s="780"/>
      <c r="F58" s="780"/>
      <c r="G58" s="780">
        <f t="shared" si="2"/>
        <v>0</v>
      </c>
      <c r="H58" s="780"/>
      <c r="I58" s="780">
        <f t="shared" si="3"/>
        <v>0</v>
      </c>
      <c r="J58" s="780">
        <f t="shared" si="4"/>
        <v>6.5000000000000002E-2</v>
      </c>
      <c r="K58" s="780">
        <f t="shared" si="5"/>
        <v>0</v>
      </c>
      <c r="L58" s="780"/>
      <c r="M58" s="621"/>
      <c r="N58" s="621">
        <v>0.13</v>
      </c>
      <c r="O58" s="621"/>
      <c r="P58" s="780"/>
      <c r="Q58" s="621"/>
      <c r="R58" s="621">
        <v>0</v>
      </c>
      <c r="S58" s="621"/>
    </row>
    <row r="59" spans="1:19">
      <c r="A59" s="796">
        <f t="shared" si="26"/>
        <v>2.4299999999999908</v>
      </c>
      <c r="B59" s="621" t="s">
        <v>1287</v>
      </c>
      <c r="C59" s="780">
        <f t="shared" si="0"/>
        <v>1684659.55</v>
      </c>
      <c r="D59" s="780">
        <f t="shared" si="1"/>
        <v>7258062.04</v>
      </c>
      <c r="E59" s="780"/>
      <c r="F59" s="780"/>
      <c r="G59" s="780">
        <f t="shared" si="2"/>
        <v>4471361</v>
      </c>
      <c r="H59" s="780"/>
      <c r="I59" s="780">
        <f t="shared" si="3"/>
        <v>4465994.3499999996</v>
      </c>
      <c r="J59" s="780">
        <f t="shared" si="4"/>
        <v>0</v>
      </c>
      <c r="K59" s="780">
        <f t="shared" si="5"/>
        <v>5366.4450000000006</v>
      </c>
      <c r="L59" s="780"/>
      <c r="M59" s="621">
        <v>1687911.19</v>
      </c>
      <c r="N59" s="621"/>
      <c r="O59" s="621">
        <v>-3251.64</v>
      </c>
      <c r="P59" s="780"/>
      <c r="Q59" s="621">
        <v>7244077.5099999998</v>
      </c>
      <c r="R59" s="621"/>
      <c r="S59" s="621">
        <v>13984.53</v>
      </c>
    </row>
    <row r="60" spans="1:19">
      <c r="A60" s="796">
        <f t="shared" si="26"/>
        <v>2.4399999999999906</v>
      </c>
      <c r="B60" s="621" t="s">
        <v>1288</v>
      </c>
      <c r="C60" s="780">
        <f t="shared" si="0"/>
        <v>269199.33</v>
      </c>
      <c r="D60" s="780">
        <f t="shared" si="1"/>
        <v>0</v>
      </c>
      <c r="E60" s="780"/>
      <c r="F60" s="780"/>
      <c r="G60" s="780">
        <f t="shared" si="2"/>
        <v>134600</v>
      </c>
      <c r="H60" s="780"/>
      <c r="I60" s="780">
        <f t="shared" si="3"/>
        <v>134599.66500000001</v>
      </c>
      <c r="J60" s="780">
        <f t="shared" si="4"/>
        <v>0</v>
      </c>
      <c r="K60" s="780">
        <f t="shared" si="5"/>
        <v>0</v>
      </c>
      <c r="L60" s="780"/>
      <c r="M60" s="621">
        <v>269199.33</v>
      </c>
      <c r="N60" s="621"/>
      <c r="O60" s="621"/>
      <c r="P60" s="780"/>
      <c r="Q60" s="621">
        <v>0</v>
      </c>
      <c r="R60" s="621"/>
      <c r="S60" s="621"/>
    </row>
    <row r="61" spans="1:19">
      <c r="A61" s="796">
        <f t="shared" si="26"/>
        <v>2.4499999999999904</v>
      </c>
      <c r="B61" s="621" t="s">
        <v>1289</v>
      </c>
      <c r="C61" s="780">
        <f t="shared" si="0"/>
        <v>-402785.91000000003</v>
      </c>
      <c r="D61" s="780">
        <f t="shared" si="1"/>
        <v>-406491.24</v>
      </c>
      <c r="E61" s="780"/>
      <c r="F61" s="780"/>
      <c r="G61" s="780">
        <f t="shared" si="2"/>
        <v>-404639</v>
      </c>
      <c r="H61" s="780"/>
      <c r="I61" s="780">
        <f t="shared" si="3"/>
        <v>0</v>
      </c>
      <c r="J61" s="780">
        <f t="shared" si="4"/>
        <v>0</v>
      </c>
      <c r="K61" s="780">
        <f t="shared" si="5"/>
        <v>-404638.57500000001</v>
      </c>
      <c r="L61" s="780"/>
      <c r="M61" s="621"/>
      <c r="N61" s="621"/>
      <c r="O61" s="621">
        <v>-402785.91000000003</v>
      </c>
      <c r="P61" s="780"/>
      <c r="Q61" s="621"/>
      <c r="R61" s="621"/>
      <c r="S61" s="621">
        <v>-406491.24</v>
      </c>
    </row>
    <row r="62" spans="1:19">
      <c r="A62" s="796">
        <f t="shared" si="26"/>
        <v>2.4599999999999902</v>
      </c>
      <c r="B62" s="621" t="s">
        <v>1290</v>
      </c>
      <c r="C62" s="780">
        <f t="shared" si="0"/>
        <v>115395</v>
      </c>
      <c r="D62" s="780">
        <f t="shared" si="1"/>
        <v>179655</v>
      </c>
      <c r="E62" s="780"/>
      <c r="F62" s="780"/>
      <c r="G62" s="780">
        <f t="shared" si="2"/>
        <v>147525</v>
      </c>
      <c r="H62" s="780"/>
      <c r="I62" s="780">
        <f t="shared" si="3"/>
        <v>147525</v>
      </c>
      <c r="J62" s="780">
        <f t="shared" si="4"/>
        <v>0</v>
      </c>
      <c r="K62" s="780">
        <f t="shared" si="5"/>
        <v>0</v>
      </c>
      <c r="L62" s="780"/>
      <c r="M62" s="621">
        <v>115395</v>
      </c>
      <c r="N62" s="621"/>
      <c r="O62" s="621"/>
      <c r="P62" s="780"/>
      <c r="Q62" s="621">
        <v>179655</v>
      </c>
      <c r="R62" s="621"/>
      <c r="S62" s="621"/>
    </row>
    <row r="63" spans="1:19">
      <c r="A63" s="796">
        <f t="shared" si="26"/>
        <v>2.46999999999999</v>
      </c>
      <c r="B63" s="621" t="s">
        <v>1291</v>
      </c>
      <c r="C63" s="780">
        <f t="shared" si="0"/>
        <v>-26049888.949999999</v>
      </c>
      <c r="D63" s="780">
        <f t="shared" si="1"/>
        <v>-36946583.789999999</v>
      </c>
      <c r="E63" s="780"/>
      <c r="F63" s="780"/>
      <c r="G63" s="780">
        <f t="shared" si="2"/>
        <v>-31498236</v>
      </c>
      <c r="H63" s="780"/>
      <c r="I63" s="780">
        <f t="shared" si="3"/>
        <v>-14468831.585000001</v>
      </c>
      <c r="J63" s="780">
        <f t="shared" si="4"/>
        <v>-2376385.77</v>
      </c>
      <c r="K63" s="780">
        <f t="shared" si="5"/>
        <v>-14653019.015000001</v>
      </c>
      <c r="L63" s="780"/>
      <c r="M63" s="621">
        <v>-13357210.02</v>
      </c>
      <c r="N63" s="621">
        <v>-2199422.44</v>
      </c>
      <c r="O63" s="621">
        <v>-10493256.49</v>
      </c>
      <c r="P63" s="780"/>
      <c r="Q63" s="621">
        <v>-15580453.15</v>
      </c>
      <c r="R63" s="621">
        <v>-2553349.1</v>
      </c>
      <c r="S63" s="621">
        <v>-18812781.539999999</v>
      </c>
    </row>
    <row r="64" spans="1:19">
      <c r="A64" s="796">
        <f t="shared" si="26"/>
        <v>2.4799999999999898</v>
      </c>
      <c r="B64" s="621" t="s">
        <v>1292</v>
      </c>
      <c r="C64" s="780">
        <f t="shared" si="0"/>
        <v>1192244.31</v>
      </c>
      <c r="D64" s="780">
        <f t="shared" si="1"/>
        <v>-3129036.02</v>
      </c>
      <c r="E64" s="780"/>
      <c r="F64" s="780"/>
      <c r="G64" s="780">
        <f t="shared" si="2"/>
        <v>-968396</v>
      </c>
      <c r="H64" s="780"/>
      <c r="I64" s="780">
        <f t="shared" si="3"/>
        <v>-433392.72499999998</v>
      </c>
      <c r="J64" s="780">
        <f t="shared" si="4"/>
        <v>253852.51</v>
      </c>
      <c r="K64" s="780">
        <f t="shared" si="5"/>
        <v>-788855.64</v>
      </c>
      <c r="L64" s="780"/>
      <c r="M64" s="621">
        <v>696580.81</v>
      </c>
      <c r="N64" s="621">
        <v>166340.73000000001</v>
      </c>
      <c r="O64" s="621">
        <v>329322.77</v>
      </c>
      <c r="P64" s="780"/>
      <c r="Q64" s="621">
        <v>-1563366.26</v>
      </c>
      <c r="R64" s="621">
        <v>341364.29</v>
      </c>
      <c r="S64" s="621">
        <v>-1907034.05</v>
      </c>
    </row>
    <row r="65" spans="1:19">
      <c r="A65" s="796">
        <f t="shared" si="26"/>
        <v>2.4899999999999896</v>
      </c>
      <c r="B65" s="621" t="s">
        <v>1293</v>
      </c>
      <c r="C65" s="780">
        <f t="shared" si="0"/>
        <v>2798779.25</v>
      </c>
      <c r="D65" s="780">
        <f t="shared" si="1"/>
        <v>2740981.79</v>
      </c>
      <c r="E65" s="780"/>
      <c r="F65" s="780"/>
      <c r="G65" s="780">
        <f t="shared" si="2"/>
        <v>2769881</v>
      </c>
      <c r="H65" s="780"/>
      <c r="I65" s="780">
        <f t="shared" si="3"/>
        <v>1095313.83</v>
      </c>
      <c r="J65" s="780">
        <f t="shared" si="4"/>
        <v>25199.075000000001</v>
      </c>
      <c r="K65" s="780">
        <f t="shared" si="5"/>
        <v>1649367.615</v>
      </c>
      <c r="L65" s="780"/>
      <c r="M65" s="621">
        <v>1218277.8600000001</v>
      </c>
      <c r="N65" s="621">
        <v>32814.620000000003</v>
      </c>
      <c r="O65" s="621">
        <v>1547686.77</v>
      </c>
      <c r="P65" s="780"/>
      <c r="Q65" s="621">
        <v>972349.8</v>
      </c>
      <c r="R65" s="621">
        <v>17583.53</v>
      </c>
      <c r="S65" s="621">
        <v>1751048.46</v>
      </c>
    </row>
    <row r="66" spans="1:19">
      <c r="A66" s="796">
        <f t="shared" si="26"/>
        <v>2.4999999999999893</v>
      </c>
      <c r="B66" s="621" t="s">
        <v>1294</v>
      </c>
      <c r="C66" s="1186">
        <f t="shared" si="0"/>
        <v>165841021.95999998</v>
      </c>
      <c r="D66" s="1186">
        <f t="shared" si="1"/>
        <v>160806954.99000001</v>
      </c>
      <c r="E66" s="1186"/>
      <c r="F66" s="1186"/>
      <c r="G66" s="1186">
        <f t="shared" si="2"/>
        <v>163323988</v>
      </c>
      <c r="H66" s="1186"/>
      <c r="I66" s="1186">
        <f t="shared" si="3"/>
        <v>163074149.845</v>
      </c>
      <c r="J66" s="1186">
        <f t="shared" si="4"/>
        <v>8229.4699999999993</v>
      </c>
      <c r="K66" s="1186">
        <f t="shared" si="5"/>
        <v>241609.16</v>
      </c>
      <c r="L66" s="1186"/>
      <c r="M66" s="621">
        <v>165597616.75999999</v>
      </c>
      <c r="N66" s="621">
        <v>7978.47</v>
      </c>
      <c r="O66" s="621">
        <v>235426.73</v>
      </c>
      <c r="P66" s="1186"/>
      <c r="Q66" s="621">
        <v>160550682.93000001</v>
      </c>
      <c r="R66" s="621">
        <v>8480.4699999999993</v>
      </c>
      <c r="S66" s="621">
        <v>247791.59</v>
      </c>
    </row>
    <row r="67" spans="1:19">
      <c r="A67" s="796">
        <f t="shared" si="26"/>
        <v>2.5099999999999891</v>
      </c>
      <c r="B67" s="621" t="s">
        <v>1295</v>
      </c>
      <c r="C67" s="1186">
        <f t="shared" si="0"/>
        <v>2521009.31</v>
      </c>
      <c r="D67" s="1186">
        <f t="shared" si="1"/>
        <v>2521009.31</v>
      </c>
      <c r="E67" s="1186"/>
      <c r="F67" s="1186"/>
      <c r="G67" s="1186">
        <f t="shared" si="2"/>
        <v>2521009</v>
      </c>
      <c r="H67" s="1186"/>
      <c r="I67" s="1186">
        <f t="shared" si="3"/>
        <v>2521009.31</v>
      </c>
      <c r="J67" s="1186">
        <f t="shared" si="4"/>
        <v>0</v>
      </c>
      <c r="K67" s="1186">
        <f t="shared" si="5"/>
        <v>0</v>
      </c>
      <c r="L67" s="1186"/>
      <c r="M67" s="621">
        <v>2521009.31</v>
      </c>
      <c r="N67" s="621"/>
      <c r="O67" s="621"/>
      <c r="P67" s="1186"/>
      <c r="Q67" s="621">
        <v>2521009.31</v>
      </c>
      <c r="R67" s="621"/>
      <c r="S67" s="621"/>
    </row>
    <row r="68" spans="1:19">
      <c r="A68" s="796">
        <f t="shared" si="26"/>
        <v>2.5199999999999889</v>
      </c>
      <c r="B68" s="621" t="s">
        <v>1296</v>
      </c>
      <c r="C68" s="780">
        <f t="shared" si="0"/>
        <v>14212587.51</v>
      </c>
      <c r="D68" s="780">
        <f t="shared" si="1"/>
        <v>20117983.710000001</v>
      </c>
      <c r="E68" s="780"/>
      <c r="F68" s="780"/>
      <c r="G68" s="780">
        <f t="shared" si="2"/>
        <v>17165286</v>
      </c>
      <c r="H68" s="780"/>
      <c r="I68" s="780">
        <f t="shared" si="3"/>
        <v>10076370.205</v>
      </c>
      <c r="J68" s="780">
        <f t="shared" si="4"/>
        <v>179278.15500000003</v>
      </c>
      <c r="K68" s="780">
        <f t="shared" si="5"/>
        <v>6909637.25</v>
      </c>
      <c r="L68" s="780"/>
      <c r="M68" s="621">
        <v>6950922.8399999999</v>
      </c>
      <c r="N68" s="621">
        <v>178555.51</v>
      </c>
      <c r="O68" s="621">
        <v>7083109.1600000001</v>
      </c>
      <c r="P68" s="780"/>
      <c r="Q68" s="621">
        <v>13201817.57</v>
      </c>
      <c r="R68" s="621">
        <v>180000.80000000002</v>
      </c>
      <c r="S68" s="621">
        <v>6736165.3399999999</v>
      </c>
    </row>
    <row r="69" spans="1:19">
      <c r="A69" s="796">
        <f t="shared" si="26"/>
        <v>2.5299999999999887</v>
      </c>
      <c r="B69" s="621" t="s">
        <v>1297</v>
      </c>
      <c r="C69" s="780">
        <f t="shared" si="0"/>
        <v>3.999999999999998E-2</v>
      </c>
      <c r="D69" s="780">
        <f t="shared" si="1"/>
        <v>3.999999999999998E-2</v>
      </c>
      <c r="E69" s="780"/>
      <c r="F69" s="780"/>
      <c r="G69" s="780">
        <f t="shared" si="2"/>
        <v>0</v>
      </c>
      <c r="H69" s="780"/>
      <c r="I69" s="780">
        <f t="shared" si="3"/>
        <v>0.24</v>
      </c>
      <c r="J69" s="780">
        <f t="shared" si="4"/>
        <v>0.12</v>
      </c>
      <c r="K69" s="780">
        <f t="shared" si="5"/>
        <v>-0.32</v>
      </c>
      <c r="L69" s="780"/>
      <c r="M69" s="621">
        <v>0.24</v>
      </c>
      <c r="N69" s="621">
        <v>0.12</v>
      </c>
      <c r="O69" s="621">
        <v>-0.32</v>
      </c>
      <c r="P69" s="780"/>
      <c r="Q69" s="621">
        <v>0.24</v>
      </c>
      <c r="R69" s="621">
        <v>0.12</v>
      </c>
      <c r="S69" s="621">
        <v>-0.32</v>
      </c>
    </row>
    <row r="70" spans="1:19">
      <c r="A70" s="796">
        <f t="shared" si="26"/>
        <v>2.5399999999999885</v>
      </c>
      <c r="B70" s="621" t="s">
        <v>1298</v>
      </c>
      <c r="C70" s="780">
        <f t="shared" si="0"/>
        <v>-3324016.08</v>
      </c>
      <c r="D70" s="780">
        <f t="shared" si="1"/>
        <v>-3324016.08</v>
      </c>
      <c r="E70" s="780"/>
      <c r="F70" s="780"/>
      <c r="G70" s="780">
        <f t="shared" si="2"/>
        <v>-3324016</v>
      </c>
      <c r="H70" s="780"/>
      <c r="I70" s="780">
        <f t="shared" si="3"/>
        <v>-3324016.08</v>
      </c>
      <c r="J70" s="780">
        <f t="shared" si="4"/>
        <v>0</v>
      </c>
      <c r="K70" s="780">
        <f t="shared" si="5"/>
        <v>0</v>
      </c>
      <c r="L70" s="780"/>
      <c r="M70" s="621">
        <v>-3324016.08</v>
      </c>
      <c r="N70" s="621"/>
      <c r="O70" s="621"/>
      <c r="P70" s="780"/>
      <c r="Q70" s="621">
        <v>-3324016.08</v>
      </c>
      <c r="R70" s="621"/>
      <c r="S70" s="621"/>
    </row>
    <row r="71" spans="1:19">
      <c r="A71" s="796">
        <f t="shared" si="26"/>
        <v>2.5499999999999883</v>
      </c>
      <c r="B71" s="621" t="s">
        <v>1299</v>
      </c>
      <c r="C71" s="780">
        <f t="shared" si="0"/>
        <v>0.01</v>
      </c>
      <c r="D71" s="780">
        <f t="shared" si="1"/>
        <v>0.01</v>
      </c>
      <c r="E71" s="780"/>
      <c r="F71" s="780"/>
      <c r="G71" s="780">
        <f t="shared" si="2"/>
        <v>0</v>
      </c>
      <c r="H71" s="780"/>
      <c r="I71" s="780">
        <f t="shared" si="3"/>
        <v>0</v>
      </c>
      <c r="J71" s="780">
        <f t="shared" si="4"/>
        <v>0</v>
      </c>
      <c r="K71" s="780">
        <f t="shared" si="5"/>
        <v>0.01</v>
      </c>
      <c r="L71" s="780"/>
      <c r="M71" s="621"/>
      <c r="N71" s="621"/>
      <c r="O71" s="621">
        <v>0.01</v>
      </c>
      <c r="P71" s="780"/>
      <c r="Q71" s="621"/>
      <c r="R71" s="621"/>
      <c r="S71" s="621">
        <v>0.01</v>
      </c>
    </row>
    <row r="72" spans="1:19">
      <c r="A72" s="796">
        <f t="shared" si="26"/>
        <v>2.5599999999999881</v>
      </c>
      <c r="B72" s="621" t="s">
        <v>1300</v>
      </c>
      <c r="C72" s="780">
        <f t="shared" si="0"/>
        <v>336978.79</v>
      </c>
      <c r="D72" s="780">
        <f t="shared" si="1"/>
        <v>364114.96</v>
      </c>
      <c r="E72" s="780"/>
      <c r="F72" s="780"/>
      <c r="G72" s="780">
        <f t="shared" si="2"/>
        <v>350547</v>
      </c>
      <c r="H72" s="780"/>
      <c r="I72" s="780">
        <f t="shared" si="3"/>
        <v>36722.61</v>
      </c>
      <c r="J72" s="780">
        <f t="shared" si="4"/>
        <v>0</v>
      </c>
      <c r="K72" s="780">
        <f t="shared" si="5"/>
        <v>313824.26500000001</v>
      </c>
      <c r="L72" s="780"/>
      <c r="M72" s="621">
        <v>40630.11</v>
      </c>
      <c r="N72" s="621"/>
      <c r="O72" s="621">
        <v>296348.68</v>
      </c>
      <c r="P72" s="780"/>
      <c r="Q72" s="621">
        <v>32815.11</v>
      </c>
      <c r="R72" s="621"/>
      <c r="S72" s="621">
        <v>331299.85000000003</v>
      </c>
    </row>
    <row r="73" spans="1:19">
      <c r="A73" s="796">
        <f t="shared" si="26"/>
        <v>2.5699999999999878</v>
      </c>
      <c r="B73" s="621" t="s">
        <v>1301</v>
      </c>
      <c r="C73" s="780">
        <f t="shared" si="0"/>
        <v>-34320.93</v>
      </c>
      <c r="D73" s="780">
        <f t="shared" si="1"/>
        <v>-34320.93</v>
      </c>
      <c r="E73" s="780"/>
      <c r="F73" s="780"/>
      <c r="G73" s="780">
        <f t="shared" si="2"/>
        <v>-34321</v>
      </c>
      <c r="H73" s="780"/>
      <c r="I73" s="780">
        <f t="shared" si="3"/>
        <v>-34320.93</v>
      </c>
      <c r="J73" s="780">
        <f t="shared" si="4"/>
        <v>0</v>
      </c>
      <c r="K73" s="780">
        <f t="shared" si="5"/>
        <v>0</v>
      </c>
      <c r="L73" s="780"/>
      <c r="M73" s="621">
        <v>-34320.93</v>
      </c>
      <c r="N73" s="621"/>
      <c r="O73" s="621"/>
      <c r="P73" s="780"/>
      <c r="Q73" s="621">
        <v>-34320.93</v>
      </c>
      <c r="R73" s="621"/>
      <c r="S73" s="621"/>
    </row>
    <row r="74" spans="1:19">
      <c r="A74" s="796">
        <f t="shared" si="26"/>
        <v>2.5799999999999876</v>
      </c>
      <c r="B74" s="621" t="s">
        <v>1302</v>
      </c>
      <c r="C74" s="780">
        <f t="shared" si="0"/>
        <v>-3251.64</v>
      </c>
      <c r="D74" s="780">
        <f t="shared" si="1"/>
        <v>-631.68000000000006</v>
      </c>
      <c r="E74" s="780"/>
      <c r="F74" s="780"/>
      <c r="G74" s="780">
        <f t="shared" si="2"/>
        <v>-1942</v>
      </c>
      <c r="H74" s="780"/>
      <c r="I74" s="780">
        <f t="shared" si="3"/>
        <v>-1941.6599999999999</v>
      </c>
      <c r="J74" s="780">
        <f t="shared" si="4"/>
        <v>0</v>
      </c>
      <c r="K74" s="780">
        <f t="shared" si="5"/>
        <v>0</v>
      </c>
      <c r="L74" s="780"/>
      <c r="M74" s="621">
        <v>-3251.64</v>
      </c>
      <c r="N74" s="621"/>
      <c r="O74" s="621"/>
      <c r="P74" s="780"/>
      <c r="Q74" s="621">
        <v>-631.68000000000006</v>
      </c>
      <c r="R74" s="621"/>
      <c r="S74" s="621"/>
    </row>
    <row r="75" spans="1:19">
      <c r="A75" s="796">
        <f t="shared" si="26"/>
        <v>2.5899999999999874</v>
      </c>
      <c r="B75" s="621" t="s">
        <v>1303</v>
      </c>
      <c r="C75" s="780">
        <f t="shared" ref="C75:C77" si="33">SUM(M75:O75)</f>
        <v>6912092.46</v>
      </c>
      <c r="D75" s="780">
        <f t="shared" ref="D75:D77" si="34">SUM(Q75:S75)</f>
        <v>8675800.1400000006</v>
      </c>
      <c r="E75" s="780"/>
      <c r="F75" s="780"/>
      <c r="G75" s="780">
        <f t="shared" ref="G75:G77" si="35">ROUND(SUM(C75:F75)/2,0)</f>
        <v>7793946</v>
      </c>
      <c r="H75" s="780"/>
      <c r="I75" s="780">
        <f t="shared" ref="I75:I77" si="36">(M75+Q75)/2</f>
        <v>3553322.85</v>
      </c>
      <c r="J75" s="780">
        <f t="shared" ref="J75:J77" si="37">(N75+R75)/2</f>
        <v>456094.17</v>
      </c>
      <c r="K75" s="780">
        <f t="shared" ref="K75:K77" si="38">(O75+S75)/2</f>
        <v>3784529.28</v>
      </c>
      <c r="L75" s="780"/>
      <c r="M75" s="621">
        <v>3458318.85</v>
      </c>
      <c r="N75" s="621">
        <v>313952.73</v>
      </c>
      <c r="O75" s="621">
        <v>3139820.88</v>
      </c>
      <c r="P75" s="780"/>
      <c r="Q75" s="621">
        <v>3648326.85</v>
      </c>
      <c r="R75" s="621">
        <v>598235.61</v>
      </c>
      <c r="S75" s="621">
        <v>4429237.68</v>
      </c>
    </row>
    <row r="76" spans="1:19">
      <c r="A76" s="796">
        <f t="shared" si="26"/>
        <v>2.5999999999999872</v>
      </c>
      <c r="B76" s="621" t="s">
        <v>1304</v>
      </c>
      <c r="C76" s="780">
        <f t="shared" si="33"/>
        <v>-0.05</v>
      </c>
      <c r="D76" s="780">
        <f t="shared" si="34"/>
        <v>-0.05</v>
      </c>
      <c r="E76" s="780"/>
      <c r="F76" s="780"/>
      <c r="G76" s="780">
        <f t="shared" si="35"/>
        <v>0</v>
      </c>
      <c r="H76" s="780"/>
      <c r="I76" s="780">
        <f t="shared" si="36"/>
        <v>0.04</v>
      </c>
      <c r="J76" s="780">
        <f t="shared" si="37"/>
        <v>-0.04</v>
      </c>
      <c r="K76" s="780">
        <f t="shared" si="38"/>
        <v>-0.05</v>
      </c>
      <c r="L76" s="780"/>
      <c r="M76" s="621">
        <v>0.04</v>
      </c>
      <c r="N76" s="621">
        <v>-0.04</v>
      </c>
      <c r="O76" s="621">
        <v>-0.05</v>
      </c>
      <c r="P76" s="780"/>
      <c r="Q76" s="621">
        <v>0.04</v>
      </c>
      <c r="R76" s="621">
        <v>-0.04</v>
      </c>
      <c r="S76" s="621">
        <v>-0.05</v>
      </c>
    </row>
    <row r="77" spans="1:19">
      <c r="A77" s="796">
        <f t="shared" si="26"/>
        <v>2.609999999999987</v>
      </c>
      <c r="B77" s="621" t="s">
        <v>1305</v>
      </c>
      <c r="C77" s="780">
        <f t="shared" si="33"/>
        <v>49598.600000000006</v>
      </c>
      <c r="D77" s="780">
        <f t="shared" si="34"/>
        <v>92941.55</v>
      </c>
      <c r="E77" s="780"/>
      <c r="F77" s="780"/>
      <c r="G77" s="780">
        <f t="shared" si="35"/>
        <v>71270</v>
      </c>
      <c r="H77" s="780"/>
      <c r="I77" s="780">
        <f t="shared" si="36"/>
        <v>4089.51</v>
      </c>
      <c r="J77" s="780">
        <f t="shared" si="37"/>
        <v>0</v>
      </c>
      <c r="K77" s="780">
        <f t="shared" si="38"/>
        <v>67180.565000000002</v>
      </c>
      <c r="L77" s="780"/>
      <c r="M77" s="621">
        <v>2363.9</v>
      </c>
      <c r="N77" s="621"/>
      <c r="O77" s="621">
        <v>47234.700000000004</v>
      </c>
      <c r="P77" s="780"/>
      <c r="Q77" s="621">
        <v>5815.12</v>
      </c>
      <c r="R77" s="621"/>
      <c r="S77" s="621">
        <v>87126.430000000008</v>
      </c>
    </row>
    <row r="78" spans="1:19">
      <c r="A78" s="796">
        <f t="shared" si="26"/>
        <v>2.6199999999999868</v>
      </c>
      <c r="B78" s="1173" t="s">
        <v>1227</v>
      </c>
      <c r="C78" s="1173">
        <f t="shared" ref="C78" si="39">SUM(M78:O78)</f>
        <v>0</v>
      </c>
      <c r="D78" s="1173">
        <f t="shared" ref="D78" si="40">SUM(Q78:S78)</f>
        <v>0</v>
      </c>
      <c r="E78" s="1174"/>
      <c r="F78" s="1174"/>
      <c r="G78" s="780">
        <f t="shared" ref="G78" si="41">ROUND(SUM(C78:F78)/2,0)</f>
        <v>0</v>
      </c>
      <c r="H78" s="780"/>
      <c r="I78" s="780">
        <f t="shared" ref="I78" si="42">(M78+Q78)/2</f>
        <v>0</v>
      </c>
      <c r="J78" s="780">
        <f t="shared" ref="J78" si="43">(N78+R78)/2</f>
        <v>0</v>
      </c>
      <c r="K78" s="780">
        <f t="shared" ref="K78" si="44">(O78+S78)/2</f>
        <v>0</v>
      </c>
      <c r="L78" s="780"/>
      <c r="M78" s="621">
        <v>0</v>
      </c>
      <c r="N78" s="621">
        <v>0</v>
      </c>
      <c r="O78" s="621">
        <v>0</v>
      </c>
      <c r="P78" s="780"/>
      <c r="Q78" s="621"/>
      <c r="R78" s="621"/>
      <c r="S78" s="621"/>
    </row>
    <row r="79" spans="1:19">
      <c r="A79" s="796">
        <f t="shared" si="26"/>
        <v>2.6299999999999866</v>
      </c>
      <c r="B79" s="1173" t="s">
        <v>1228</v>
      </c>
      <c r="C79" s="1173">
        <f>-E79</f>
        <v>0</v>
      </c>
      <c r="D79" s="1173">
        <f>-F79</f>
        <v>0</v>
      </c>
      <c r="E79" s="1174">
        <f>C78</f>
        <v>0</v>
      </c>
      <c r="F79" s="1174">
        <f>D78</f>
        <v>0</v>
      </c>
      <c r="G79" s="780"/>
      <c r="H79" s="780"/>
      <c r="I79" s="780"/>
      <c r="J79" s="780"/>
      <c r="K79" s="780"/>
      <c r="L79" s="780"/>
      <c r="M79" s="990"/>
      <c r="N79" s="990"/>
      <c r="O79" s="990"/>
      <c r="P79" s="780"/>
      <c r="Q79" s="990"/>
      <c r="R79" s="990"/>
      <c r="S79" s="990"/>
    </row>
    <row r="80" spans="1:19">
      <c r="A80" s="796">
        <f t="shared" si="26"/>
        <v>2.6399999999999864</v>
      </c>
      <c r="B80" s="621" t="s">
        <v>962</v>
      </c>
      <c r="C80" s="621">
        <f>-E80</f>
        <v>0</v>
      </c>
      <c r="D80" s="621">
        <f>-F80</f>
        <v>0</v>
      </c>
      <c r="E80" s="780">
        <v>0</v>
      </c>
      <c r="F80" s="780">
        <v>0</v>
      </c>
      <c r="G80" s="780"/>
      <c r="H80" s="780"/>
      <c r="I80" s="780"/>
      <c r="J80" s="780"/>
      <c r="K80" s="780"/>
      <c r="L80" s="780"/>
      <c r="M80" s="990"/>
      <c r="N80" s="990"/>
      <c r="O80" s="990"/>
      <c r="P80" s="780"/>
      <c r="Q80" s="990"/>
      <c r="R80" s="990"/>
      <c r="S80" s="990"/>
    </row>
    <row r="81" spans="1:256">
      <c r="A81" s="796">
        <f t="shared" si="26"/>
        <v>2.6499999999999861</v>
      </c>
      <c r="B81" s="621" t="s">
        <v>974</v>
      </c>
      <c r="C81" s="621">
        <f t="shared" ref="C81:C90" si="45">-E81</f>
        <v>50476326.170000002</v>
      </c>
      <c r="D81" s="621">
        <f t="shared" ref="D81:D90" si="46">-F81</f>
        <v>71289540.909999996</v>
      </c>
      <c r="E81" s="780">
        <v>-50476326.170000002</v>
      </c>
      <c r="F81" s="780">
        <v>-71289540.909999996</v>
      </c>
      <c r="G81" s="780"/>
      <c r="H81" s="780"/>
      <c r="I81" s="780"/>
      <c r="J81" s="780"/>
      <c r="K81" s="780"/>
      <c r="L81" s="780"/>
      <c r="M81" s="990"/>
      <c r="N81" s="990"/>
      <c r="O81" s="990"/>
      <c r="P81" s="780"/>
      <c r="Q81" s="990"/>
      <c r="R81" s="990"/>
      <c r="S81" s="990"/>
    </row>
    <row r="82" spans="1:256">
      <c r="A82" s="796">
        <f t="shared" si="26"/>
        <v>2.6599999999999859</v>
      </c>
      <c r="B82" s="621" t="s">
        <v>1092</v>
      </c>
      <c r="C82" s="621">
        <f t="shared" si="45"/>
        <v>129186028.3</v>
      </c>
      <c r="D82" s="621">
        <f t="shared" si="46"/>
        <v>49883565.549999997</v>
      </c>
      <c r="E82" s="780">
        <v>-129186028.3</v>
      </c>
      <c r="F82" s="780">
        <v>-49883565.549999997</v>
      </c>
      <c r="G82" s="780"/>
      <c r="H82" s="780"/>
      <c r="I82" s="780"/>
      <c r="J82" s="780"/>
      <c r="K82" s="780"/>
      <c r="L82" s="780"/>
      <c r="M82" s="990"/>
      <c r="N82" s="990"/>
      <c r="O82" s="990"/>
      <c r="P82" s="780"/>
      <c r="Q82" s="990"/>
      <c r="R82" s="990"/>
      <c r="S82" s="990"/>
    </row>
    <row r="83" spans="1:256">
      <c r="A83" s="796">
        <f t="shared" si="26"/>
        <v>2.6699999999999857</v>
      </c>
      <c r="B83" s="621" t="s">
        <v>1093</v>
      </c>
      <c r="C83" s="621">
        <f t="shared" si="45"/>
        <v>104715.72</v>
      </c>
      <c r="D83" s="621">
        <f t="shared" si="46"/>
        <v>17703367.210000001</v>
      </c>
      <c r="E83" s="780">
        <v>-104715.72</v>
      </c>
      <c r="F83" s="780">
        <v>-17703367.210000001</v>
      </c>
      <c r="G83" s="780"/>
      <c r="H83" s="780"/>
      <c r="I83" s="780"/>
      <c r="J83" s="780"/>
      <c r="K83" s="780"/>
      <c r="L83" s="780"/>
      <c r="M83" s="990"/>
      <c r="N83" s="990"/>
      <c r="O83" s="990"/>
      <c r="P83" s="780"/>
      <c r="Q83" s="990"/>
      <c r="R83" s="990"/>
      <c r="S83" s="990"/>
    </row>
    <row r="84" spans="1:256">
      <c r="A84" s="796">
        <f t="shared" si="26"/>
        <v>2.6799999999999855</v>
      </c>
      <c r="B84" s="621" t="s">
        <v>1094</v>
      </c>
      <c r="C84" s="621">
        <f t="shared" si="45"/>
        <v>2648467.4500000002</v>
      </c>
      <c r="D84" s="621">
        <f t="shared" si="46"/>
        <v>2351614.87</v>
      </c>
      <c r="E84" s="780">
        <v>-2648467.4500000002</v>
      </c>
      <c r="F84" s="780">
        <v>-2351614.87</v>
      </c>
      <c r="G84" s="780"/>
      <c r="H84" s="780"/>
      <c r="I84" s="780"/>
      <c r="J84" s="780"/>
      <c r="K84" s="780"/>
      <c r="L84" s="780"/>
      <c r="M84" s="990"/>
      <c r="N84" s="990"/>
      <c r="O84" s="990"/>
      <c r="P84" s="780"/>
      <c r="Q84" s="990"/>
      <c r="R84" s="990"/>
      <c r="S84" s="990"/>
    </row>
    <row r="85" spans="1:256">
      <c r="A85" s="796">
        <f t="shared" si="26"/>
        <v>2.6899999999999853</v>
      </c>
      <c r="B85" s="621" t="s">
        <v>1095</v>
      </c>
      <c r="C85" s="621">
        <f t="shared" si="45"/>
        <v>487153.99</v>
      </c>
      <c r="D85" s="621">
        <f t="shared" si="46"/>
        <v>445345.66000000003</v>
      </c>
      <c r="E85" s="780">
        <v>-487153.99</v>
      </c>
      <c r="F85" s="780">
        <v>-445345.66000000003</v>
      </c>
      <c r="G85" s="780"/>
      <c r="H85" s="780"/>
      <c r="I85" s="780"/>
      <c r="J85" s="780"/>
      <c r="K85" s="780"/>
      <c r="L85" s="780"/>
      <c r="M85" s="990"/>
      <c r="N85" s="990"/>
      <c r="O85" s="990"/>
      <c r="P85" s="780"/>
      <c r="Q85" s="990"/>
      <c r="R85" s="990"/>
      <c r="S85" s="990"/>
    </row>
    <row r="86" spans="1:256">
      <c r="A86" s="796">
        <f t="shared" si="26"/>
        <v>2.6999999999999851</v>
      </c>
      <c r="B86" s="621" t="s">
        <v>975</v>
      </c>
      <c r="C86" s="621">
        <f t="shared" si="45"/>
        <v>-482007.09</v>
      </c>
      <c r="D86" s="621">
        <f t="shared" si="46"/>
        <v>-3504634.43</v>
      </c>
      <c r="E86" s="780">
        <v>482007.09</v>
      </c>
      <c r="F86" s="780">
        <v>3504634.43</v>
      </c>
      <c r="G86" s="780"/>
      <c r="H86" s="780"/>
      <c r="I86" s="780"/>
      <c r="J86" s="780"/>
      <c r="K86" s="780"/>
      <c r="L86" s="780"/>
      <c r="M86" s="780"/>
      <c r="N86" s="780"/>
      <c r="O86" s="780"/>
      <c r="P86" s="780"/>
      <c r="Q86" s="780"/>
      <c r="R86" s="780"/>
      <c r="S86" s="780"/>
    </row>
    <row r="87" spans="1:256">
      <c r="A87" s="796">
        <f t="shared" si="26"/>
        <v>2.7099999999999849</v>
      </c>
      <c r="B87" s="621" t="s">
        <v>976</v>
      </c>
      <c r="C87" s="621">
        <f t="shared" si="45"/>
        <v>507760.88</v>
      </c>
      <c r="D87" s="621">
        <f t="shared" si="46"/>
        <v>466445.09</v>
      </c>
      <c r="E87" s="780">
        <v>-507760.88</v>
      </c>
      <c r="F87" s="780">
        <v>-466445.09</v>
      </c>
      <c r="G87" s="780"/>
      <c r="H87" s="780"/>
      <c r="I87" s="780"/>
      <c r="J87" s="780"/>
      <c r="K87" s="780"/>
      <c r="L87" s="780"/>
      <c r="M87" s="780"/>
      <c r="N87" s="780"/>
      <c r="O87" s="780"/>
      <c r="P87" s="780"/>
      <c r="Q87" s="780"/>
      <c r="R87" s="780"/>
      <c r="S87" s="780"/>
    </row>
    <row r="88" spans="1:256">
      <c r="A88" s="796">
        <f t="shared" si="26"/>
        <v>2.7199999999999847</v>
      </c>
      <c r="B88" s="621" t="s">
        <v>977</v>
      </c>
      <c r="C88" s="621">
        <f t="shared" si="45"/>
        <v>17938.55</v>
      </c>
      <c r="D88" s="621">
        <f t="shared" si="46"/>
        <v>15375.89</v>
      </c>
      <c r="E88" s="780">
        <v>-17938.55</v>
      </c>
      <c r="F88" s="780">
        <v>-15375.89</v>
      </c>
      <c r="G88" s="780"/>
      <c r="H88" s="780"/>
      <c r="I88" s="780"/>
      <c r="J88" s="780"/>
      <c r="K88" s="780"/>
      <c r="L88" s="780"/>
      <c r="M88" s="780"/>
      <c r="N88" s="780"/>
      <c r="O88" s="780"/>
      <c r="P88" s="780"/>
      <c r="Q88" s="780"/>
      <c r="R88" s="780"/>
      <c r="S88" s="780"/>
    </row>
    <row r="89" spans="1:256">
      <c r="A89" s="796">
        <f t="shared" si="26"/>
        <v>2.7299999999999844</v>
      </c>
      <c r="B89" s="621" t="s">
        <v>1248</v>
      </c>
      <c r="C89" s="621">
        <f t="shared" ref="C89" si="47">-E89</f>
        <v>10210.06</v>
      </c>
      <c r="D89" s="621">
        <f t="shared" ref="D89" si="48">-F89</f>
        <v>10055.4</v>
      </c>
      <c r="E89" s="780">
        <v>-10210.06</v>
      </c>
      <c r="F89" s="780">
        <v>-10055.4</v>
      </c>
      <c r="G89" s="780"/>
      <c r="H89" s="780"/>
      <c r="I89" s="780"/>
      <c r="J89" s="780"/>
      <c r="K89" s="780"/>
      <c r="L89" s="780"/>
      <c r="M89" s="780"/>
      <c r="N89" s="780"/>
      <c r="O89" s="780"/>
      <c r="P89" s="780"/>
      <c r="Q89" s="780"/>
      <c r="R89" s="780"/>
      <c r="S89" s="780"/>
    </row>
    <row r="90" spans="1:256">
      <c r="A90" s="796">
        <f t="shared" si="26"/>
        <v>2.7399999999999842</v>
      </c>
      <c r="B90" s="621" t="s">
        <v>978</v>
      </c>
      <c r="C90" s="621">
        <f t="shared" si="45"/>
        <v>0</v>
      </c>
      <c r="D90" s="621">
        <f t="shared" si="46"/>
        <v>3437.25</v>
      </c>
      <c r="E90" s="780">
        <v>0</v>
      </c>
      <c r="F90" s="780">
        <v>-3437.25</v>
      </c>
      <c r="G90" s="780"/>
      <c r="H90" s="780"/>
      <c r="I90" s="780"/>
      <c r="J90" s="780"/>
      <c r="K90" s="780"/>
      <c r="L90" s="780"/>
      <c r="M90" s="780"/>
      <c r="N90" s="780"/>
      <c r="O90" s="780"/>
      <c r="P90" s="780"/>
      <c r="Q90" s="780"/>
      <c r="R90" s="780"/>
      <c r="S90" s="780"/>
    </row>
    <row r="91" spans="1:256">
      <c r="A91" s="796">
        <f t="shared" si="26"/>
        <v>2.749999999999984</v>
      </c>
      <c r="B91" s="621" t="s">
        <v>1262</v>
      </c>
      <c r="C91" s="621">
        <f t="shared" ref="C91:C92" si="49">-E91</f>
        <v>3241831.16</v>
      </c>
      <c r="D91" s="621">
        <f t="shared" ref="D91:D92" si="50">-F91</f>
        <v>2214278.5799999996</v>
      </c>
      <c r="E91" s="780">
        <v>-3241831.16</v>
      </c>
      <c r="F91" s="780">
        <v>-2214278.5799999996</v>
      </c>
      <c r="G91" s="780"/>
      <c r="H91" s="780"/>
      <c r="I91" s="780"/>
      <c r="J91" s="780"/>
      <c r="K91" s="780"/>
      <c r="L91" s="780"/>
      <c r="M91" s="780"/>
      <c r="N91" s="780"/>
      <c r="O91" s="780"/>
      <c r="P91" s="780"/>
      <c r="Q91" s="780"/>
      <c r="R91" s="780"/>
      <c r="S91" s="780"/>
    </row>
    <row r="92" spans="1:256">
      <c r="A92" s="796">
        <f t="shared" si="26"/>
        <v>2.7599999999999838</v>
      </c>
      <c r="B92" s="621" t="s">
        <v>1263</v>
      </c>
      <c r="C92" s="621">
        <f t="shared" si="49"/>
        <v>-0.21</v>
      </c>
      <c r="D92" s="621">
        <f t="shared" si="50"/>
        <v>-0.21</v>
      </c>
      <c r="E92" s="780">
        <v>0.21</v>
      </c>
      <c r="F92" s="780">
        <v>0.21</v>
      </c>
      <c r="G92" s="780"/>
      <c r="H92" s="780"/>
      <c r="I92" s="780"/>
      <c r="J92" s="780"/>
      <c r="K92" s="780"/>
      <c r="L92" s="780"/>
      <c r="M92" s="780"/>
      <c r="N92" s="780"/>
      <c r="O92" s="780"/>
      <c r="P92" s="780"/>
      <c r="Q92" s="780"/>
      <c r="R92" s="780"/>
      <c r="S92" s="780"/>
    </row>
    <row r="93" spans="1:256">
      <c r="A93" s="796">
        <f t="shared" si="26"/>
        <v>2.7699999999999836</v>
      </c>
      <c r="B93" s="1187" t="s">
        <v>1416</v>
      </c>
      <c r="C93" s="1188">
        <f>SUM(M93:O93)</f>
        <v>298058.16000000003</v>
      </c>
      <c r="D93" s="1188">
        <f>SUM(Q93:S93)</f>
        <v>36007.74</v>
      </c>
      <c r="E93" s="1188">
        <v>0</v>
      </c>
      <c r="F93" s="1188">
        <v>0</v>
      </c>
      <c r="G93" s="1188">
        <f>ROUND(SUM(C93:F93)/2,0)</f>
        <v>167033</v>
      </c>
      <c r="H93" s="1188"/>
      <c r="I93" s="1188">
        <f>(M93+Q93)/2</f>
        <v>167032.95000000001</v>
      </c>
      <c r="J93" s="1188">
        <f>(N93+R93)/2</f>
        <v>0</v>
      </c>
      <c r="K93" s="1188">
        <f>(O93+S93)/2</f>
        <v>0</v>
      </c>
      <c r="L93" s="1188"/>
      <c r="M93" s="1187">
        <v>298058.16000000003</v>
      </c>
      <c r="N93" s="1187">
        <v>0</v>
      </c>
      <c r="O93" s="1187"/>
      <c r="P93" s="1188"/>
      <c r="Q93" s="1187">
        <v>36007.74</v>
      </c>
      <c r="R93" s="1187"/>
      <c r="S93" s="1187"/>
    </row>
    <row r="94" spans="1:256">
      <c r="A94" s="136"/>
      <c r="B94" s="780"/>
      <c r="C94" s="780"/>
      <c r="D94" s="780"/>
      <c r="E94" s="780"/>
      <c r="F94" s="780"/>
      <c r="G94" s="780"/>
      <c r="H94" s="780"/>
      <c r="I94" s="780"/>
      <c r="J94" s="780"/>
      <c r="K94" s="780"/>
      <c r="L94" s="780"/>
      <c r="M94" s="780"/>
      <c r="N94" s="780"/>
      <c r="O94" s="780"/>
      <c r="P94" s="780"/>
      <c r="Q94" s="780"/>
      <c r="R94" s="780"/>
      <c r="S94" s="780"/>
    </row>
    <row r="95" spans="1:256" ht="13.5" thickBot="1">
      <c r="A95" s="1">
        <v>4</v>
      </c>
      <c r="B95" s="780" t="s">
        <v>738</v>
      </c>
      <c r="C95" s="788">
        <f>SUM(C17:C94)</f>
        <v>375008978.98000008</v>
      </c>
      <c r="D95" s="788">
        <f>SUM(D17:D94)</f>
        <v>407916850.45999998</v>
      </c>
      <c r="E95" s="788">
        <f>SUM(E17:E94)</f>
        <v>-186198424.97999999</v>
      </c>
      <c r="F95" s="788">
        <f>SUM(F17:F94)</f>
        <v>-140878391.76999998</v>
      </c>
      <c r="G95" s="788">
        <f>SUM(G17:G94)</f>
        <v>227924506</v>
      </c>
      <c r="H95" s="780"/>
      <c r="I95" s="788">
        <f>SUM(I17:I94)</f>
        <v>189928949.23499998</v>
      </c>
      <c r="J95" s="788">
        <f>SUM(J17:J94)</f>
        <v>18175786.915000007</v>
      </c>
      <c r="K95" s="788">
        <f>SUM(K17:K94)</f>
        <v>19819770.195</v>
      </c>
      <c r="L95" s="780"/>
      <c r="M95" s="788">
        <f>SUM(M17:M94)</f>
        <v>173728200.33000001</v>
      </c>
      <c r="N95" s="788">
        <f>SUM(N17:N94)</f>
        <v>792280.57999999938</v>
      </c>
      <c r="O95" s="788">
        <f>SUM(O17:O94)</f>
        <v>14290073.089999989</v>
      </c>
      <c r="P95" s="780"/>
      <c r="Q95" s="788">
        <f>SUM(Q17:Q94)</f>
        <v>206129698.14000002</v>
      </c>
      <c r="R95" s="788">
        <f>SUM(R17:R94)</f>
        <v>35559293.249999993</v>
      </c>
      <c r="S95" s="788">
        <f>SUM(S17:S94)</f>
        <v>25349467.300000008</v>
      </c>
    </row>
    <row r="96" spans="1:256" ht="13.5" thickTop="1">
      <c r="A96" s="1">
        <v>5</v>
      </c>
      <c r="B96" s="18" t="s">
        <v>741</v>
      </c>
      <c r="C96" s="784">
        <f>C66+C67</f>
        <v>168362031.26999998</v>
      </c>
      <c r="D96" s="784">
        <f>D66+D67</f>
        <v>163327964.30000001</v>
      </c>
      <c r="E96" s="784">
        <f>E66+E67</f>
        <v>0</v>
      </c>
      <c r="F96" s="784">
        <f t="shared" ref="F96:G96" si="51">F66+F67</f>
        <v>0</v>
      </c>
      <c r="G96" s="784">
        <f t="shared" si="51"/>
        <v>165844997</v>
      </c>
      <c r="H96" s="4"/>
      <c r="I96" s="784">
        <f>I66+I67</f>
        <v>165595159.155</v>
      </c>
      <c r="J96" s="784">
        <f t="shared" ref="J96:K96" si="52">J66+J67</f>
        <v>8229.4699999999993</v>
      </c>
      <c r="K96" s="784">
        <f t="shared" si="52"/>
        <v>241609.16</v>
      </c>
      <c r="L96" s="4"/>
      <c r="M96" s="784">
        <f>M66+M67</f>
        <v>168118626.06999999</v>
      </c>
      <c r="N96" s="784">
        <f t="shared" ref="N96:O96" si="53">N66+N67</f>
        <v>7978.47</v>
      </c>
      <c r="O96" s="784">
        <f t="shared" si="53"/>
        <v>235426.73</v>
      </c>
      <c r="P96" s="4"/>
      <c r="Q96" s="784">
        <f>Q66+Q67</f>
        <v>163071692.24000001</v>
      </c>
      <c r="R96" s="784">
        <f t="shared" ref="R96:S96" si="54">R66+R67</f>
        <v>8480.4699999999993</v>
      </c>
      <c r="S96" s="784">
        <f t="shared" si="54"/>
        <v>247791.59</v>
      </c>
      <c r="T96" s="4"/>
      <c r="IV96" s="780"/>
    </row>
    <row r="97" spans="9:9">
      <c r="I97" s="780"/>
    </row>
  </sheetData>
  <pageMargins left="0.7" right="0.7" top="0.75" bottom="0.75" header="0.3" footer="0.3"/>
  <pageSetup scale="2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7">
    <pageSetUpPr autoPageBreaks="0" fitToPage="1"/>
  </sheetPr>
  <dimension ref="A1:W111"/>
  <sheetViews>
    <sheetView tabSelected="1" zoomScaleNormal="100" workbookViewId="0">
      <pane ySplit="10" topLeftCell="A30" activePane="bottomLeft" state="frozen"/>
      <selection activeCell="F7" sqref="F7"/>
      <selection pane="bottomLeft" activeCell="F7" sqref="F7"/>
    </sheetView>
  </sheetViews>
  <sheetFormatPr defaultColWidth="10" defaultRowHeight="12"/>
  <cols>
    <col min="1" max="1" width="9.42578125" style="1037" customWidth="1"/>
    <col min="2" max="2" width="20.85546875" style="1038" customWidth="1"/>
    <col min="3" max="3" width="35.5703125" style="1037" customWidth="1"/>
    <col min="4" max="4" width="12.85546875" style="1037" customWidth="1"/>
    <col min="5" max="5" width="10.42578125" style="1037" customWidth="1"/>
    <col min="6" max="6" width="16.42578125" style="1037" customWidth="1"/>
    <col min="7" max="7" width="12" style="1037" customWidth="1"/>
    <col min="8" max="8" width="14.28515625" style="1037" bestFit="1" customWidth="1"/>
    <col min="9" max="9" width="18.85546875" style="1037" customWidth="1"/>
    <col min="10" max="10" width="15.5703125" style="1037" customWidth="1"/>
    <col min="11" max="11" width="16.140625" style="1037" customWidth="1"/>
    <col min="12" max="13" width="15" style="1037" customWidth="1"/>
    <col min="14" max="14" width="13.5703125" style="1037" customWidth="1"/>
    <col min="15" max="15" width="15" style="1037" customWidth="1"/>
    <col min="16" max="17" width="17.5703125" style="1037" customWidth="1"/>
    <col min="18" max="18" width="33" style="1037" customWidth="1"/>
    <col min="19" max="19" width="15" style="1037" customWidth="1"/>
    <col min="20" max="21" width="14.5703125" style="1037" bestFit="1" customWidth="1"/>
    <col min="22" max="22" width="10.5703125" style="1037" bestFit="1" customWidth="1"/>
    <col min="23" max="16384" width="10" style="1037"/>
  </cols>
  <sheetData>
    <row r="1" spans="1:23" ht="15">
      <c r="A1" s="1043" t="s">
        <v>985</v>
      </c>
      <c r="B1" s="1042"/>
      <c r="C1" s="1042"/>
      <c r="D1" s="1042"/>
      <c r="E1" s="1042"/>
      <c r="F1" s="1042"/>
      <c r="G1" s="1042"/>
      <c r="H1" s="1042"/>
      <c r="I1" s="1042"/>
      <c r="J1" s="1042"/>
      <c r="K1" s="1042"/>
      <c r="L1" s="1042"/>
      <c r="M1" s="1042"/>
      <c r="N1" s="1042"/>
      <c r="O1" s="1042"/>
      <c r="P1" s="1042"/>
      <c r="Q1" s="1042"/>
      <c r="R1" s="1081"/>
      <c r="S1" s="1042"/>
      <c r="T1" s="1042"/>
      <c r="U1" s="1042"/>
      <c r="V1" s="1042"/>
      <c r="W1" s="1042"/>
    </row>
    <row r="2" spans="1:23" ht="15">
      <c r="A2" s="1043" t="s">
        <v>986</v>
      </c>
      <c r="B2" s="1042"/>
      <c r="C2" s="1042"/>
      <c r="D2" s="1042"/>
      <c r="E2" s="1042"/>
      <c r="F2" s="1042"/>
      <c r="G2" s="1042"/>
      <c r="H2" s="1042"/>
      <c r="I2" s="1042"/>
      <c r="J2" s="1042"/>
      <c r="K2" s="1042"/>
      <c r="L2" s="1042"/>
      <c r="M2" s="1042"/>
      <c r="N2" s="1042"/>
      <c r="O2" s="1042"/>
      <c r="P2" s="1042"/>
      <c r="Q2" s="1042"/>
      <c r="R2" s="1081"/>
      <c r="S2" s="1042"/>
      <c r="T2" s="1042"/>
      <c r="U2" s="1042"/>
      <c r="V2" s="1045"/>
      <c r="W2" s="1042"/>
    </row>
    <row r="3" spans="1:23" ht="15">
      <c r="A3" s="1043" t="s">
        <v>987</v>
      </c>
      <c r="B3" s="1042"/>
      <c r="C3" s="1042"/>
      <c r="D3" s="1042"/>
      <c r="E3" s="1042"/>
      <c r="F3" s="1042"/>
      <c r="G3" s="1042"/>
      <c r="H3" s="1042"/>
      <c r="I3" s="1042"/>
      <c r="J3" s="1042"/>
      <c r="K3" s="1042"/>
      <c r="L3" s="1042"/>
      <c r="M3" s="1042"/>
      <c r="N3" s="1042"/>
      <c r="O3" s="1042"/>
      <c r="P3" s="1042"/>
      <c r="Q3" s="1042"/>
      <c r="R3" s="1081"/>
      <c r="S3" s="1042"/>
      <c r="T3" s="1042"/>
      <c r="U3" s="1042"/>
      <c r="V3" s="1039"/>
      <c r="W3" s="1042"/>
    </row>
    <row r="4" spans="1:23" ht="15">
      <c r="A4" s="1043" t="s">
        <v>1472</v>
      </c>
      <c r="B4" s="1042"/>
      <c r="C4" s="1042"/>
      <c r="D4" s="1042"/>
      <c r="E4" s="1042"/>
      <c r="F4" s="1042"/>
      <c r="G4" s="1042"/>
      <c r="H4" s="1042"/>
      <c r="I4" s="1042"/>
      <c r="J4" s="1042"/>
      <c r="K4" s="1042"/>
      <c r="L4" s="1042"/>
      <c r="M4" s="1042"/>
      <c r="N4" s="1042"/>
      <c r="O4" s="1042"/>
      <c r="P4" s="1042"/>
      <c r="Q4" s="1042"/>
      <c r="R4" s="1081"/>
      <c r="S4" s="1042"/>
      <c r="T4" s="1042"/>
      <c r="U4" s="1042"/>
      <c r="V4" s="1039"/>
      <c r="W4" s="1042"/>
    </row>
    <row r="5" spans="1:23" ht="15">
      <c r="A5" s="1043" t="s">
        <v>988</v>
      </c>
      <c r="B5" s="1042"/>
      <c r="C5" s="1042"/>
      <c r="D5" s="1042"/>
      <c r="E5" s="1042"/>
      <c r="F5" s="1042"/>
      <c r="G5" s="1046"/>
      <c r="H5" s="1042"/>
      <c r="I5" s="1042"/>
      <c r="J5" s="1042"/>
      <c r="K5" s="1042"/>
      <c r="L5" s="1042"/>
      <c r="M5" s="1042"/>
      <c r="N5" s="1042"/>
      <c r="O5" s="1042"/>
      <c r="P5" s="1042"/>
      <c r="Q5" s="1042"/>
      <c r="R5" s="1042"/>
      <c r="S5" s="1042"/>
      <c r="T5" s="1042"/>
      <c r="U5" s="1042"/>
      <c r="V5" s="1042"/>
      <c r="W5" s="1042"/>
    </row>
    <row r="6" spans="1:23" ht="15">
      <c r="A6" s="1042"/>
      <c r="B6" s="1042"/>
      <c r="C6" s="1042"/>
      <c r="D6" s="1042"/>
      <c r="E6" s="1042"/>
      <c r="F6" s="1042"/>
      <c r="G6" s="1042"/>
      <c r="H6" s="1042"/>
      <c r="I6" s="1047"/>
      <c r="J6" s="1047"/>
      <c r="K6" s="1042"/>
      <c r="L6" s="1042"/>
      <c r="M6" s="1042"/>
      <c r="N6" s="1042"/>
      <c r="O6" s="1042"/>
      <c r="P6" s="1047"/>
      <c r="Q6" s="1047"/>
      <c r="R6" s="1042"/>
      <c r="S6" s="1042"/>
      <c r="T6" s="1042"/>
      <c r="U6" s="1042"/>
      <c r="V6" s="1042"/>
      <c r="W6" s="1042"/>
    </row>
    <row r="7" spans="1:23" ht="15">
      <c r="A7" s="1042"/>
      <c r="B7" s="1048"/>
      <c r="C7" s="1048"/>
      <c r="D7" s="1048"/>
      <c r="E7" s="1048"/>
      <c r="F7" s="1048"/>
      <c r="G7" s="1048"/>
      <c r="H7" s="1048"/>
      <c r="I7" s="1048"/>
      <c r="J7" s="1048"/>
      <c r="K7" s="1048"/>
      <c r="L7" s="1048"/>
      <c r="M7" s="1048"/>
      <c r="N7" s="1048"/>
      <c r="O7" s="1048"/>
      <c r="P7" s="1048"/>
      <c r="Q7" s="1044"/>
      <c r="R7" s="1042"/>
      <c r="S7" s="1042"/>
      <c r="T7" s="1042"/>
      <c r="U7" s="1042"/>
      <c r="V7" s="1042"/>
      <c r="W7" s="1042"/>
    </row>
    <row r="8" spans="1:23" ht="15">
      <c r="A8" s="1044" t="s">
        <v>148</v>
      </c>
      <c r="B8" s="1044" t="s">
        <v>149</v>
      </c>
      <c r="C8" s="1044" t="s">
        <v>150</v>
      </c>
      <c r="D8" s="1044" t="s">
        <v>151</v>
      </c>
      <c r="E8" s="1044" t="s">
        <v>152</v>
      </c>
      <c r="F8" s="1044" t="s">
        <v>153</v>
      </c>
      <c r="G8" s="1044" t="s">
        <v>154</v>
      </c>
      <c r="H8" s="1044" t="s">
        <v>155</v>
      </c>
      <c r="I8" s="1044" t="s">
        <v>989</v>
      </c>
      <c r="J8" s="1044" t="s">
        <v>990</v>
      </c>
      <c r="K8" s="1044" t="s">
        <v>158</v>
      </c>
      <c r="L8" s="1044" t="s">
        <v>159</v>
      </c>
      <c r="M8" s="1044" t="s">
        <v>160</v>
      </c>
      <c r="N8" s="1044" t="s">
        <v>245</v>
      </c>
      <c r="O8" s="1044" t="s">
        <v>304</v>
      </c>
      <c r="P8" s="1044" t="s">
        <v>350</v>
      </c>
      <c r="Q8" s="1044" t="s">
        <v>351</v>
      </c>
      <c r="R8" s="1044" t="s">
        <v>352</v>
      </c>
      <c r="S8" s="1042"/>
      <c r="T8" s="1042"/>
      <c r="U8" s="1042"/>
      <c r="V8" s="1042"/>
      <c r="W8" s="1042"/>
    </row>
    <row r="9" spans="1:23" ht="15">
      <c r="A9" s="1049" t="s">
        <v>991</v>
      </c>
      <c r="B9" s="1042"/>
      <c r="C9" s="1042"/>
      <c r="D9" s="1042"/>
      <c r="E9" s="1042"/>
      <c r="F9" s="1042"/>
      <c r="G9" s="1042"/>
      <c r="H9" s="1042"/>
      <c r="I9" s="1265" t="s">
        <v>1470</v>
      </c>
      <c r="J9" s="1265"/>
      <c r="K9" s="1266" t="s">
        <v>992</v>
      </c>
      <c r="L9" s="1266"/>
      <c r="M9" s="1266"/>
      <c r="N9" s="1267" t="s">
        <v>993</v>
      </c>
      <c r="O9" s="1267"/>
      <c r="P9" s="1265" t="s">
        <v>1471</v>
      </c>
      <c r="Q9" s="1265"/>
      <c r="R9" s="1042"/>
      <c r="S9" s="1042"/>
      <c r="T9" s="1042"/>
      <c r="U9" s="1042"/>
      <c r="V9" s="1042"/>
      <c r="W9" s="1042"/>
    </row>
    <row r="10" spans="1:23" ht="72">
      <c r="A10" s="1050" t="s">
        <v>994</v>
      </c>
      <c r="B10" s="1145" t="s">
        <v>1153</v>
      </c>
      <c r="C10" s="1146" t="s">
        <v>995</v>
      </c>
      <c r="D10" s="1145" t="s">
        <v>996</v>
      </c>
      <c r="E10" s="1145" t="s">
        <v>997</v>
      </c>
      <c r="F10" s="1145" t="s">
        <v>1154</v>
      </c>
      <c r="G10" s="1145" t="s">
        <v>1155</v>
      </c>
      <c r="H10" s="1145" t="s">
        <v>998</v>
      </c>
      <c r="I10" s="1147" t="s">
        <v>1156</v>
      </c>
      <c r="J10" s="1147" t="s">
        <v>1157</v>
      </c>
      <c r="K10" s="1145" t="s">
        <v>999</v>
      </c>
      <c r="L10" s="1145">
        <v>182.3</v>
      </c>
      <c r="M10" s="1145">
        <v>254</v>
      </c>
      <c r="N10" s="1145" t="s">
        <v>1158</v>
      </c>
      <c r="O10" s="1145" t="s">
        <v>1000</v>
      </c>
      <c r="P10" s="1147" t="s">
        <v>1159</v>
      </c>
      <c r="Q10" s="1147" t="s">
        <v>1160</v>
      </c>
      <c r="R10" s="1051" t="s">
        <v>1001</v>
      </c>
      <c r="S10" s="1043"/>
      <c r="T10" s="1042"/>
      <c r="U10" s="1042"/>
      <c r="V10" s="1042"/>
      <c r="W10" s="1042"/>
    </row>
    <row r="11" spans="1:23" ht="15">
      <c r="A11" s="1042"/>
      <c r="B11" s="1043"/>
      <c r="C11" s="1042"/>
      <c r="D11" s="1052"/>
      <c r="E11" s="1052"/>
      <c r="F11" s="1052"/>
      <c r="G11" s="1052"/>
      <c r="H11" s="1052"/>
      <c r="I11" s="1052"/>
      <c r="J11" s="1052"/>
      <c r="K11" s="1052"/>
      <c r="L11" s="1052"/>
      <c r="M11" s="1052"/>
      <c r="N11" s="1052"/>
      <c r="O11" s="1052"/>
      <c r="P11" s="1268" t="s">
        <v>1002</v>
      </c>
      <c r="Q11" s="1268"/>
      <c r="R11" s="1051"/>
      <c r="S11" s="1043"/>
      <c r="T11" s="1042"/>
      <c r="U11" s="1042"/>
      <c r="V11" s="1042"/>
      <c r="W11" s="1042"/>
    </row>
    <row r="12" spans="1:23" ht="15">
      <c r="A12" s="1042"/>
      <c r="B12" s="1053" t="s">
        <v>1003</v>
      </c>
      <c r="C12" s="1054"/>
      <c r="D12" s="1054"/>
      <c r="E12" s="1054"/>
      <c r="F12" s="1054"/>
      <c r="G12" s="1054"/>
      <c r="H12" s="1054"/>
      <c r="I12" s="1054"/>
      <c r="J12" s="1054"/>
      <c r="K12" s="1054"/>
      <c r="L12" s="1054"/>
      <c r="M12" s="1054"/>
      <c r="N12" s="1054"/>
      <c r="O12" s="1054"/>
      <c r="P12" s="1054"/>
      <c r="Q12" s="1054"/>
      <c r="R12" s="1039"/>
      <c r="S12" s="1042"/>
      <c r="T12" s="1042"/>
      <c r="U12" s="1042"/>
      <c r="V12" s="1042"/>
      <c r="W12" s="1039"/>
    </row>
    <row r="13" spans="1:23" ht="15">
      <c r="A13" s="1043" t="s">
        <v>1004</v>
      </c>
      <c r="B13" s="1079" t="s">
        <v>1005</v>
      </c>
      <c r="C13" s="1043" t="s">
        <v>1504</v>
      </c>
      <c r="D13" s="1043" t="s">
        <v>1502</v>
      </c>
      <c r="E13" s="1043" t="s">
        <v>1007</v>
      </c>
      <c r="F13" s="1044"/>
      <c r="G13" s="1043"/>
      <c r="H13" s="1043"/>
      <c r="I13" s="1082">
        <v>129186027.71054667</v>
      </c>
      <c r="J13" s="1083" t="s">
        <v>114</v>
      </c>
      <c r="K13" s="1082"/>
      <c r="L13" s="1082"/>
      <c r="M13" s="1082">
        <v>-6943439.75</v>
      </c>
      <c r="N13" s="1082"/>
      <c r="O13" s="1082"/>
      <c r="P13" s="1084">
        <f>SUM(I13:O13)</f>
        <v>122242587.96054667</v>
      </c>
      <c r="Q13" s="1065" t="s">
        <v>114</v>
      </c>
      <c r="R13" s="1059" t="s">
        <v>1167</v>
      </c>
      <c r="S13" s="1042"/>
      <c r="T13" s="1042"/>
      <c r="U13" s="1042"/>
      <c r="V13" s="1042"/>
      <c r="W13" s="1039"/>
    </row>
    <row r="14" spans="1:23" ht="15">
      <c r="A14" s="1043" t="s">
        <v>1008</v>
      </c>
      <c r="B14" s="1079" t="s">
        <v>1177</v>
      </c>
      <c r="C14" s="1048" t="s">
        <v>1178</v>
      </c>
      <c r="D14" s="1043" t="s">
        <v>1021</v>
      </c>
      <c r="E14" s="1043" t="s">
        <v>1176</v>
      </c>
      <c r="F14" s="1044"/>
      <c r="G14" s="1043"/>
      <c r="H14" s="1043"/>
      <c r="I14" s="1082">
        <v>104716.01300712157</v>
      </c>
      <c r="J14" s="1065"/>
      <c r="K14" s="1082"/>
      <c r="L14" s="1082"/>
      <c r="M14" s="1082">
        <v>-8986.8700000000008</v>
      </c>
      <c r="N14" s="1082"/>
      <c r="O14" s="1082"/>
      <c r="P14" s="1084">
        <f>SUM(I14:O14)</f>
        <v>95729.143007121573</v>
      </c>
      <c r="Q14" s="1065"/>
      <c r="R14" s="1059"/>
      <c r="S14" s="1042"/>
      <c r="T14" s="1042"/>
      <c r="U14" s="1042"/>
      <c r="V14" s="1042"/>
      <c r="W14" s="1039"/>
    </row>
    <row r="15" spans="1:23" ht="15">
      <c r="A15" s="1043" t="s">
        <v>1012</v>
      </c>
      <c r="B15" s="1079" t="s">
        <v>1009</v>
      </c>
      <c r="C15" s="1048" t="s">
        <v>1010</v>
      </c>
      <c r="D15" s="1048" t="s">
        <v>1011</v>
      </c>
      <c r="E15" s="1043" t="s">
        <v>1007</v>
      </c>
      <c r="F15" s="1060">
        <v>-115991956</v>
      </c>
      <c r="G15" s="1049" t="s">
        <v>1018</v>
      </c>
      <c r="H15" s="1049" t="s">
        <v>1019</v>
      </c>
      <c r="I15" s="1083"/>
      <c r="J15" s="1059">
        <v>-80565419.264029354</v>
      </c>
      <c r="K15" s="1055"/>
      <c r="L15" s="1055"/>
      <c r="M15" s="1055"/>
      <c r="N15" s="1055">
        <v>3613381.2844342822</v>
      </c>
      <c r="O15" s="1055"/>
      <c r="P15" s="1065"/>
      <c r="Q15" s="1084">
        <f>SUM(I15:O15)</f>
        <v>-76952037.979595065</v>
      </c>
      <c r="R15" s="1059"/>
      <c r="S15" s="1042"/>
      <c r="T15" s="1042"/>
      <c r="U15" s="1042"/>
      <c r="V15" s="1042"/>
      <c r="W15" s="1039"/>
    </row>
    <row r="16" spans="1:23" ht="15">
      <c r="A16" s="1043" t="s">
        <v>1015</v>
      </c>
      <c r="B16" s="1079" t="s">
        <v>1013</v>
      </c>
      <c r="C16" s="1048" t="s">
        <v>1014</v>
      </c>
      <c r="D16" s="1048" t="s">
        <v>1011</v>
      </c>
      <c r="E16" s="1043" t="s">
        <v>1007</v>
      </c>
      <c r="F16" s="1044"/>
      <c r="G16" s="1043"/>
      <c r="H16" s="1043"/>
      <c r="I16" s="1059">
        <v>80565419.264029354</v>
      </c>
      <c r="J16" s="1065"/>
      <c r="K16" s="1055"/>
      <c r="L16" s="1055"/>
      <c r="M16" s="1055">
        <v>-3613381.2844342822</v>
      </c>
      <c r="N16" s="1055"/>
      <c r="O16" s="1055"/>
      <c r="P16" s="1084">
        <f>SUM(I16:O16)</f>
        <v>76952037.979595065</v>
      </c>
      <c r="Q16" s="1065"/>
      <c r="R16" s="1059" t="s">
        <v>1066</v>
      </c>
      <c r="S16" s="1042"/>
      <c r="T16" s="1042"/>
      <c r="U16" s="1042"/>
      <c r="V16" s="1042"/>
      <c r="W16" s="1039"/>
    </row>
    <row r="17" spans="1:23" ht="15">
      <c r="A17" s="1043" t="s">
        <v>1020</v>
      </c>
      <c r="B17" s="1079" t="s">
        <v>1016</v>
      </c>
      <c r="C17" s="1043" t="s">
        <v>1017</v>
      </c>
      <c r="D17" s="1043" t="s">
        <v>1011</v>
      </c>
      <c r="E17" s="1043" t="s">
        <v>1007</v>
      </c>
      <c r="F17" s="1060">
        <v>-568878716</v>
      </c>
      <c r="G17" s="1049" t="s">
        <v>1018</v>
      </c>
      <c r="H17" s="1049" t="s">
        <v>1019</v>
      </c>
      <c r="I17" s="1065" t="s">
        <v>114</v>
      </c>
      <c r="J17" s="1085">
        <v>-336243792.82926673</v>
      </c>
      <c r="K17" s="1085"/>
      <c r="L17" s="1085"/>
      <c r="M17" s="1085"/>
      <c r="N17" s="1085">
        <v>-34032825.469253056</v>
      </c>
      <c r="O17" s="1085"/>
      <c r="P17" s="1065" t="s">
        <v>114</v>
      </c>
      <c r="Q17" s="1084">
        <f>SUM(I17:O17)</f>
        <v>-370276618.29851979</v>
      </c>
      <c r="R17" s="1269" t="s">
        <v>1070</v>
      </c>
      <c r="S17" s="1042"/>
      <c r="T17" s="1042"/>
      <c r="U17" s="1042"/>
      <c r="V17" s="1042"/>
      <c r="W17" s="1039"/>
    </row>
    <row r="18" spans="1:23" ht="15">
      <c r="A18" s="1043" t="s">
        <v>1024</v>
      </c>
      <c r="B18" s="1079" t="s">
        <v>1016</v>
      </c>
      <c r="C18" s="1043" t="s">
        <v>1017</v>
      </c>
      <c r="D18" s="1043" t="s">
        <v>1021</v>
      </c>
      <c r="E18" s="1043" t="s">
        <v>1007</v>
      </c>
      <c r="F18" s="1062">
        <v>-230625401</v>
      </c>
      <c r="G18" s="1049" t="s">
        <v>1022</v>
      </c>
      <c r="H18" s="1049" t="s">
        <v>1023</v>
      </c>
      <c r="I18" s="1065"/>
      <c r="J18" s="1055">
        <v>-27400744.06563361</v>
      </c>
      <c r="K18" s="1055"/>
      <c r="L18" s="1055"/>
      <c r="M18" s="1055"/>
      <c r="N18" s="1055">
        <v>9320448.8457283098</v>
      </c>
      <c r="O18" s="1055"/>
      <c r="P18" s="1065"/>
      <c r="Q18" s="1084">
        <f>SUM(I18:O18)</f>
        <v>-18080295.219905302</v>
      </c>
      <c r="R18" s="1269"/>
      <c r="S18" s="1042"/>
      <c r="T18" s="1042"/>
      <c r="U18" s="1042"/>
      <c r="V18" s="1042"/>
      <c r="W18" s="1039"/>
    </row>
    <row r="19" spans="1:23" ht="15">
      <c r="A19" s="1043" t="s">
        <v>1027</v>
      </c>
      <c r="B19" s="1079" t="s">
        <v>1025</v>
      </c>
      <c r="C19" s="1043" t="s">
        <v>1026</v>
      </c>
      <c r="D19" s="1043" t="s">
        <v>1011</v>
      </c>
      <c r="E19" s="1043" t="s">
        <v>1007</v>
      </c>
      <c r="F19" s="1062"/>
      <c r="G19" s="1049"/>
      <c r="H19" s="1049"/>
      <c r="I19" s="1055">
        <v>336243793.82926667</v>
      </c>
      <c r="J19" s="1065"/>
      <c r="K19" s="1055"/>
      <c r="L19" s="1055"/>
      <c r="M19" s="1055">
        <v>34032825.469253063</v>
      </c>
      <c r="N19" s="1055"/>
      <c r="O19" s="1055"/>
      <c r="P19" s="1084">
        <f>SUM(I19:O19)</f>
        <v>370276619.29851973</v>
      </c>
      <c r="Q19" s="1065"/>
      <c r="R19" s="1271" t="s">
        <v>1168</v>
      </c>
      <c r="S19" s="1042"/>
      <c r="T19" s="1042"/>
      <c r="U19" s="1042"/>
      <c r="V19" s="1042"/>
      <c r="W19" s="1039"/>
    </row>
    <row r="20" spans="1:23" ht="15">
      <c r="A20" s="1043" t="s">
        <v>1028</v>
      </c>
      <c r="B20" s="1079" t="s">
        <v>1025</v>
      </c>
      <c r="C20" s="1043" t="s">
        <v>1026</v>
      </c>
      <c r="D20" s="1043" t="s">
        <v>1021</v>
      </c>
      <c r="E20" s="1043" t="s">
        <v>1007</v>
      </c>
      <c r="F20" s="1062"/>
      <c r="G20" s="1049"/>
      <c r="H20" s="1049"/>
      <c r="I20" s="1055">
        <v>27400743.06563358</v>
      </c>
      <c r="J20" s="1065"/>
      <c r="K20" s="1055"/>
      <c r="L20" s="1055"/>
      <c r="M20" s="1055">
        <v>-9320448.845728308</v>
      </c>
      <c r="N20" s="1055"/>
      <c r="O20" s="1055"/>
      <c r="P20" s="1084">
        <f>SUM(I20:O20)</f>
        <v>18080294.219905272</v>
      </c>
      <c r="Q20" s="1065"/>
      <c r="R20" s="1271"/>
      <c r="S20" s="1042"/>
      <c r="T20" s="1042"/>
      <c r="U20" s="1042"/>
      <c r="V20" s="1042"/>
      <c r="W20" s="1039"/>
    </row>
    <row r="21" spans="1:23" ht="15">
      <c r="A21" s="1043" t="s">
        <v>1031</v>
      </c>
      <c r="B21" s="1079" t="s">
        <v>1029</v>
      </c>
      <c r="C21" s="1043" t="s">
        <v>1524</v>
      </c>
      <c r="D21" s="1043" t="s">
        <v>1021</v>
      </c>
      <c r="E21" s="1043" t="s">
        <v>1007</v>
      </c>
      <c r="F21" s="1062">
        <v>-12804071</v>
      </c>
      <c r="G21" s="1049" t="s">
        <v>1022</v>
      </c>
      <c r="H21" s="1049" t="s">
        <v>1023</v>
      </c>
      <c r="I21" s="1065" t="s">
        <v>114</v>
      </c>
      <c r="J21" s="1055">
        <v>17926991.364162043</v>
      </c>
      <c r="K21" s="1055"/>
      <c r="L21" s="1055"/>
      <c r="M21" s="1055"/>
      <c r="N21" s="1055">
        <v>-12483023.434526609</v>
      </c>
      <c r="O21" s="1055"/>
      <c r="P21" s="1061" t="s">
        <v>114</v>
      </c>
      <c r="Q21" s="1084">
        <f>SUM(I21:O21)</f>
        <v>5443967.9296354335</v>
      </c>
      <c r="R21" s="1059" t="s">
        <v>1169</v>
      </c>
      <c r="S21" s="1042"/>
      <c r="T21" s="1042"/>
      <c r="U21" s="1042"/>
      <c r="V21" s="1042"/>
      <c r="W21" s="1039"/>
    </row>
    <row r="22" spans="1:23" ht="15">
      <c r="A22" s="1043" t="s">
        <v>1034</v>
      </c>
      <c r="B22" s="1079" t="s">
        <v>1029</v>
      </c>
      <c r="C22" s="1043" t="s">
        <v>1179</v>
      </c>
      <c r="D22" s="1043" t="s">
        <v>1021</v>
      </c>
      <c r="E22" s="1043" t="s">
        <v>1176</v>
      </c>
      <c r="F22" s="1062"/>
      <c r="G22" s="1049"/>
      <c r="H22" s="1049"/>
      <c r="I22" s="1065"/>
      <c r="J22" s="1151">
        <v>747681</v>
      </c>
      <c r="K22" s="1151"/>
      <c r="L22" s="1151"/>
      <c r="M22" s="1151"/>
      <c r="N22" s="1151">
        <v>-83075.72</v>
      </c>
      <c r="O22" s="1151"/>
      <c r="P22" s="1153"/>
      <c r="Q22" s="1084">
        <f>SUM(I22:O22)</f>
        <v>664605.28</v>
      </c>
      <c r="R22" s="1059"/>
      <c r="S22" s="1042"/>
      <c r="T22" s="1042"/>
      <c r="U22" s="1042"/>
      <c r="V22" s="1042"/>
      <c r="W22" s="1039"/>
    </row>
    <row r="23" spans="1:23" ht="15">
      <c r="A23" s="1043" t="s">
        <v>1182</v>
      </c>
      <c r="B23" s="1079" t="s">
        <v>1174</v>
      </c>
      <c r="C23" s="1043" t="s">
        <v>1175</v>
      </c>
      <c r="D23" s="1043" t="s">
        <v>1021</v>
      </c>
      <c r="E23" s="1043" t="s">
        <v>1176</v>
      </c>
      <c r="F23" s="1062"/>
      <c r="G23" s="1049"/>
      <c r="H23" s="1049"/>
      <c r="I23" s="1065"/>
      <c r="J23" s="1151">
        <v>-3560388</v>
      </c>
      <c r="K23" s="1151"/>
      <c r="L23" s="1151"/>
      <c r="M23" s="1151"/>
      <c r="N23" s="1151">
        <v>395598.66666666674</v>
      </c>
      <c r="O23" s="1151"/>
      <c r="P23" s="1153"/>
      <c r="Q23" s="1084">
        <f>SUM(I23:O23)</f>
        <v>-3164789.333333333</v>
      </c>
      <c r="R23" s="1059"/>
      <c r="S23" s="1042"/>
      <c r="T23" s="1042"/>
      <c r="U23" s="1042"/>
      <c r="V23" s="1042"/>
      <c r="W23" s="1039"/>
    </row>
    <row r="24" spans="1:23" ht="15">
      <c r="A24" s="1043" t="s">
        <v>1189</v>
      </c>
      <c r="B24" s="1079" t="s">
        <v>1032</v>
      </c>
      <c r="C24" s="1043" t="s">
        <v>1033</v>
      </c>
      <c r="D24" s="1043" t="s">
        <v>1021</v>
      </c>
      <c r="E24" s="1043" t="s">
        <v>1007</v>
      </c>
      <c r="F24" s="1060"/>
      <c r="G24" s="1049"/>
      <c r="H24" s="1049"/>
      <c r="I24" s="1055">
        <v>-17926991.364162028</v>
      </c>
      <c r="J24" s="1056"/>
      <c r="K24" s="1055"/>
      <c r="L24" s="1055"/>
      <c r="M24" s="1055">
        <v>12483023.434526609</v>
      </c>
      <c r="N24" s="1055"/>
      <c r="O24" s="1055"/>
      <c r="P24" s="1084">
        <f>SUM(I24:O24)</f>
        <v>-5443967.9296354186</v>
      </c>
      <c r="Q24" s="1061"/>
      <c r="R24" s="1080" t="s">
        <v>1170</v>
      </c>
      <c r="S24" s="1042"/>
      <c r="T24" s="1042"/>
      <c r="U24" s="1042"/>
      <c r="V24" s="1042"/>
      <c r="W24" s="1039"/>
    </row>
    <row r="25" spans="1:23" ht="15">
      <c r="A25" s="1043" t="s">
        <v>1190</v>
      </c>
      <c r="B25" s="1079" t="s">
        <v>1172</v>
      </c>
      <c r="C25" s="1043" t="s">
        <v>1173</v>
      </c>
      <c r="D25" s="1043" t="s">
        <v>1021</v>
      </c>
      <c r="E25" s="1043" t="s">
        <v>1176</v>
      </c>
      <c r="F25" s="1060"/>
      <c r="G25" s="1049"/>
      <c r="H25" s="1049"/>
      <c r="I25" s="1151">
        <v>3560388</v>
      </c>
      <c r="J25" s="1152"/>
      <c r="K25" s="1151"/>
      <c r="L25" s="1151"/>
      <c r="M25" s="1151">
        <v>-395598.66666666674</v>
      </c>
      <c r="N25" s="1151"/>
      <c r="O25" s="1151"/>
      <c r="P25" s="1084">
        <f>SUM(I25:O25)</f>
        <v>3164789.333333333</v>
      </c>
      <c r="Q25" s="1061"/>
      <c r="R25" s="1080"/>
      <c r="S25" s="1042"/>
      <c r="T25" s="1042"/>
      <c r="U25" s="1042"/>
      <c r="V25" s="1042"/>
      <c r="W25" s="1039"/>
    </row>
    <row r="26" spans="1:23" ht="15">
      <c r="A26" s="1213" t="s">
        <v>1191</v>
      </c>
      <c r="B26" s="1227" t="s">
        <v>1130</v>
      </c>
      <c r="C26" s="1043" t="s">
        <v>1498</v>
      </c>
      <c r="D26" s="1043" t="s">
        <v>1011</v>
      </c>
      <c r="E26" s="1043" t="s">
        <v>1007</v>
      </c>
      <c r="F26" s="1060"/>
      <c r="G26" s="1049"/>
      <c r="H26" s="1049"/>
      <c r="I26" s="1214"/>
      <c r="J26" s="1151">
        <v>0</v>
      </c>
      <c r="K26" s="1151"/>
      <c r="L26" s="1151"/>
      <c r="M26" s="1151"/>
      <c r="N26" s="1151">
        <v>72359027.045173317</v>
      </c>
      <c r="O26" s="1151"/>
      <c r="P26" s="1215"/>
      <c r="Q26" s="1216">
        <f>SUM(J26:O26)</f>
        <v>72359027.045173317</v>
      </c>
      <c r="R26" s="1080"/>
      <c r="S26" s="1042"/>
      <c r="T26" s="1042"/>
      <c r="U26" s="1042"/>
      <c r="V26" s="1042"/>
      <c r="W26" s="1039"/>
    </row>
    <row r="27" spans="1:23" ht="15">
      <c r="A27" s="1213" t="s">
        <v>1506</v>
      </c>
      <c r="B27" s="1227" t="s">
        <v>1499</v>
      </c>
      <c r="C27" s="1043" t="s">
        <v>1006</v>
      </c>
      <c r="D27" s="1043" t="s">
        <v>1502</v>
      </c>
      <c r="E27" s="1043" t="s">
        <v>1007</v>
      </c>
      <c r="F27" s="1060"/>
      <c r="G27" s="1049"/>
      <c r="H27" s="1049"/>
      <c r="I27" s="1151"/>
      <c r="J27" s="1214"/>
      <c r="K27" s="1151"/>
      <c r="L27" s="1151">
        <v>-72359027.045173317</v>
      </c>
      <c r="M27" s="1151"/>
      <c r="N27" s="1151"/>
      <c r="O27" s="1151"/>
      <c r="P27" s="1216">
        <f t="shared" ref="P27:P30" si="0">SUM(I27:O27)</f>
        <v>-72359027.045173317</v>
      </c>
      <c r="Q27" s="1215"/>
      <c r="R27" s="1080"/>
      <c r="S27" s="1042"/>
      <c r="T27" s="1042"/>
      <c r="U27" s="1042"/>
      <c r="V27" s="1042"/>
      <c r="W27" s="1039"/>
    </row>
    <row r="28" spans="1:23" ht="15">
      <c r="A28" s="1213" t="s">
        <v>1507</v>
      </c>
      <c r="B28" s="1227" t="s">
        <v>1500</v>
      </c>
      <c r="C28" s="1043" t="s">
        <v>1501</v>
      </c>
      <c r="D28" s="1043" t="s">
        <v>1502</v>
      </c>
      <c r="E28" s="1043" t="s">
        <v>1176</v>
      </c>
      <c r="F28" s="1060"/>
      <c r="G28" s="1049"/>
      <c r="H28" s="1049"/>
      <c r="I28" s="1151"/>
      <c r="J28" s="1214"/>
      <c r="K28" s="1151"/>
      <c r="L28" s="1151"/>
      <c r="M28" s="1151">
        <v>17607638.359999999</v>
      </c>
      <c r="N28" s="1151"/>
      <c r="O28" s="1151"/>
      <c r="P28" s="1216">
        <f t="shared" si="0"/>
        <v>17607638.359999999</v>
      </c>
      <c r="Q28" s="1215"/>
      <c r="R28" s="1080"/>
      <c r="S28" s="1042"/>
      <c r="T28" s="1042"/>
      <c r="U28" s="1042"/>
      <c r="V28" s="1042"/>
      <c r="W28" s="1039"/>
    </row>
    <row r="29" spans="1:23" ht="15">
      <c r="A29" s="1213" t="s">
        <v>1508</v>
      </c>
      <c r="B29" s="1227" t="s">
        <v>1503</v>
      </c>
      <c r="C29" s="1043" t="s">
        <v>1504</v>
      </c>
      <c r="D29" s="1043" t="s">
        <v>1502</v>
      </c>
      <c r="E29" s="1043" t="s">
        <v>1007</v>
      </c>
      <c r="F29" s="1060"/>
      <c r="G29" s="1049"/>
      <c r="H29" s="1049"/>
      <c r="I29" s="1151"/>
      <c r="J29" s="1214"/>
      <c r="K29" s="1151"/>
      <c r="L29" s="1151">
        <v>-19234678.075299233</v>
      </c>
      <c r="M29" s="1151"/>
      <c r="N29" s="1151"/>
      <c r="O29" s="1151"/>
      <c r="P29" s="1216">
        <f t="shared" si="0"/>
        <v>-19234678.075299233</v>
      </c>
      <c r="Q29" s="1215"/>
      <c r="R29" s="1080"/>
      <c r="S29" s="1042"/>
      <c r="T29" s="1042"/>
      <c r="U29" s="1042"/>
      <c r="V29" s="1042"/>
      <c r="W29" s="1039"/>
    </row>
    <row r="30" spans="1:23" ht="15">
      <c r="A30" s="1213" t="s">
        <v>1509</v>
      </c>
      <c r="B30" s="1227" t="s">
        <v>1505</v>
      </c>
      <c r="C30" s="1043" t="s">
        <v>1501</v>
      </c>
      <c r="D30" s="1043" t="s">
        <v>1011</v>
      </c>
      <c r="E30" s="1043" t="s">
        <v>1176</v>
      </c>
      <c r="F30" s="1060"/>
      <c r="G30" s="1049"/>
      <c r="H30" s="1049"/>
      <c r="I30" s="1151"/>
      <c r="J30" s="1214"/>
      <c r="K30" s="1151"/>
      <c r="L30" s="1151">
        <v>-2770533.9967307299</v>
      </c>
      <c r="M30" s="1151"/>
      <c r="N30" s="1151"/>
      <c r="O30" s="1151"/>
      <c r="P30" s="1216">
        <f t="shared" si="0"/>
        <v>-2770533.9967307299</v>
      </c>
      <c r="Q30" s="1215"/>
      <c r="R30" s="1080"/>
      <c r="S30" s="1042"/>
      <c r="T30" s="1042"/>
      <c r="U30" s="1042"/>
      <c r="V30" s="1042"/>
      <c r="W30" s="1039"/>
    </row>
    <row r="31" spans="1:23" ht="15">
      <c r="A31" s="1213" t="s">
        <v>1510</v>
      </c>
      <c r="B31" s="1150" t="s">
        <v>1166</v>
      </c>
      <c r="C31" s="1042"/>
      <c r="D31" s="1043"/>
      <c r="E31" s="1043"/>
      <c r="F31" s="1060"/>
      <c r="G31" s="1049"/>
      <c r="H31" s="1049"/>
      <c r="I31" s="1055"/>
      <c r="J31" s="1055"/>
      <c r="K31" s="1055"/>
      <c r="L31" s="1055"/>
      <c r="M31" s="1055"/>
      <c r="N31" s="1055"/>
      <c r="O31" s="1055"/>
      <c r="P31" s="1058"/>
      <c r="Q31" s="1057"/>
      <c r="R31" s="1080"/>
      <c r="S31" s="1042"/>
      <c r="T31" s="1042"/>
      <c r="U31" s="1042"/>
      <c r="V31" s="1042"/>
      <c r="W31" s="1039"/>
    </row>
    <row r="32" spans="1:23" ht="15">
      <c r="A32" s="1042"/>
      <c r="B32" s="1042"/>
      <c r="C32" s="1042"/>
      <c r="D32" s="1042"/>
      <c r="E32" s="1042"/>
      <c r="F32" s="1042"/>
      <c r="G32" s="1042"/>
      <c r="H32" s="1042"/>
      <c r="I32" s="1042"/>
      <c r="J32" s="1042"/>
      <c r="K32" s="1042"/>
      <c r="L32" s="1042"/>
      <c r="M32" s="1042"/>
      <c r="N32" s="1042"/>
      <c r="O32" s="1042"/>
      <c r="P32" s="1087"/>
      <c r="Q32" s="1042"/>
      <c r="R32" s="1042"/>
      <c r="S32" s="1042"/>
      <c r="T32" s="1042"/>
      <c r="U32" s="1042"/>
      <c r="V32" s="1042"/>
      <c r="W32" s="1039"/>
    </row>
    <row r="33" spans="1:23" ht="15">
      <c r="A33" s="1043"/>
      <c r="B33" s="1053" t="s">
        <v>1035</v>
      </c>
      <c r="C33" s="1039"/>
      <c r="D33" s="1039"/>
      <c r="E33" s="1039"/>
      <c r="F33" s="1039"/>
      <c r="G33" s="1039"/>
      <c r="H33" s="1039"/>
      <c r="I33" s="1039"/>
      <c r="J33" s="1039"/>
      <c r="K33" s="1039"/>
      <c r="L33" s="1039"/>
      <c r="M33" s="1039"/>
      <c r="N33" s="1039"/>
      <c r="O33" s="1039"/>
      <c r="P33" s="1039"/>
      <c r="Q33" s="1039"/>
      <c r="R33" s="1086"/>
      <c r="S33" s="1042"/>
      <c r="T33" s="1042"/>
      <c r="U33" s="1042"/>
      <c r="V33" s="1042"/>
      <c r="W33" s="1039"/>
    </row>
    <row r="34" spans="1:23" s="1039" customFormat="1" ht="15">
      <c r="A34" s="1043" t="s">
        <v>1036</v>
      </c>
      <c r="B34" s="1044">
        <v>182.3</v>
      </c>
      <c r="C34" s="1064" t="s">
        <v>1037</v>
      </c>
      <c r="D34" s="1065" t="s">
        <v>114</v>
      </c>
      <c r="E34" s="1043" t="s">
        <v>1007</v>
      </c>
      <c r="F34" s="1065"/>
      <c r="G34" s="1065" t="s">
        <v>114</v>
      </c>
      <c r="H34" s="1065"/>
      <c r="I34" s="1066">
        <v>0</v>
      </c>
      <c r="J34" s="1065"/>
      <c r="K34" s="1055"/>
      <c r="L34" s="1055">
        <v>94364239.11720328</v>
      </c>
      <c r="M34" s="1055"/>
      <c r="N34" s="1065"/>
      <c r="O34" s="1065"/>
      <c r="P34" s="1058">
        <f>SUM(I34:O34)</f>
        <v>94364239.11720328</v>
      </c>
      <c r="Q34" s="1063"/>
      <c r="R34" s="1059" t="s">
        <v>1038</v>
      </c>
      <c r="S34" s="1042"/>
      <c r="T34" s="1042"/>
      <c r="U34" s="1042"/>
      <c r="V34" s="1042"/>
    </row>
    <row r="35" spans="1:23" ht="11.45" customHeight="1">
      <c r="A35" s="1043" t="s">
        <v>1039</v>
      </c>
      <c r="B35" s="1044">
        <v>254</v>
      </c>
      <c r="C35" s="1064" t="s">
        <v>1040</v>
      </c>
      <c r="D35" s="1065" t="s">
        <v>114</v>
      </c>
      <c r="E35" s="1043" t="s">
        <v>1007</v>
      </c>
      <c r="F35" s="1065"/>
      <c r="G35" s="1065" t="s">
        <v>114</v>
      </c>
      <c r="H35" s="1065"/>
      <c r="I35" s="1066">
        <v>-555468990.50531423</v>
      </c>
      <c r="J35" s="1065"/>
      <c r="K35" s="1055"/>
      <c r="L35" s="1055"/>
      <c r="M35" s="1055">
        <v>-26638579.023617081</v>
      </c>
      <c r="N35" s="1065"/>
      <c r="O35" s="1065"/>
      <c r="P35" s="1058">
        <f>SUM(I35:O35)</f>
        <v>-582107569.52893126</v>
      </c>
      <c r="Q35" s="1063"/>
      <c r="R35" s="1059" t="s">
        <v>1038</v>
      </c>
      <c r="S35" s="1039"/>
      <c r="T35" s="1039"/>
      <c r="U35" s="1039"/>
      <c r="V35" s="1039"/>
      <c r="W35" s="1039"/>
    </row>
    <row r="36" spans="1:23" ht="11.45" customHeight="1">
      <c r="A36" s="1043" t="s">
        <v>1041</v>
      </c>
      <c r="B36" s="1044">
        <v>254.00020000000001</v>
      </c>
      <c r="C36" s="1064" t="s">
        <v>1181</v>
      </c>
      <c r="D36" s="1065"/>
      <c r="E36" s="1043" t="s">
        <v>1176</v>
      </c>
      <c r="F36" s="1065"/>
      <c r="G36" s="1065"/>
      <c r="H36" s="1065"/>
      <c r="I36" s="1066">
        <v>-3665104.0130071216</v>
      </c>
      <c r="J36" s="1065"/>
      <c r="K36" s="1151"/>
      <c r="L36" s="1151"/>
      <c r="M36" s="1151">
        <v>-17203052.823333334</v>
      </c>
      <c r="N36" s="1065"/>
      <c r="O36" s="1065"/>
      <c r="P36" s="1058">
        <f>SUM(I36:O36)</f>
        <v>-20868156.836340457</v>
      </c>
      <c r="Q36" s="1063"/>
      <c r="R36" s="1059"/>
      <c r="S36" s="1039"/>
      <c r="T36" s="1039"/>
      <c r="U36" s="1039"/>
      <c r="V36" s="1039"/>
      <c r="W36" s="1039"/>
    </row>
    <row r="37" spans="1:23" ht="11.45" customHeight="1">
      <c r="A37" s="1043" t="s">
        <v>1187</v>
      </c>
      <c r="B37" s="1150" t="s">
        <v>1166</v>
      </c>
      <c r="C37" s="1064"/>
      <c r="D37" s="1065"/>
      <c r="E37" s="1043"/>
      <c r="F37" s="1065"/>
      <c r="G37" s="1065"/>
      <c r="H37" s="1065"/>
      <c r="I37" s="1055"/>
      <c r="J37" s="1065"/>
      <c r="K37" s="1055"/>
      <c r="L37" s="1055"/>
      <c r="M37" s="1055"/>
      <c r="N37" s="1065"/>
      <c r="O37" s="1065"/>
      <c r="P37" s="1063"/>
      <c r="Q37" s="1063"/>
      <c r="R37" s="1059"/>
      <c r="S37" s="1039"/>
      <c r="T37" s="1039"/>
      <c r="U37" s="1039"/>
      <c r="V37" s="1039"/>
      <c r="W37" s="1039"/>
    </row>
    <row r="38" spans="1:23" ht="11.45" customHeight="1">
      <c r="A38" s="1042"/>
      <c r="B38" s="1044"/>
      <c r="C38" s="1064"/>
      <c r="D38" s="1048"/>
      <c r="E38" s="1048"/>
      <c r="F38" s="1048"/>
      <c r="G38" s="1048"/>
      <c r="H38" s="1048"/>
      <c r="I38" s="1048"/>
      <c r="J38" s="1048"/>
      <c r="K38" s="1048"/>
      <c r="L38" s="1048"/>
      <c r="M38" s="1048"/>
      <c r="N38" s="1048"/>
      <c r="O38" s="1048"/>
      <c r="P38" s="1048"/>
      <c r="Q38" s="1048"/>
      <c r="R38" s="1067"/>
      <c r="S38" s="1039"/>
      <c r="T38" s="1039"/>
      <c r="U38" s="1039"/>
      <c r="V38" s="1039"/>
      <c r="W38" s="1039"/>
    </row>
    <row r="39" spans="1:23" ht="12.75" thickBot="1">
      <c r="A39" s="1076">
        <v>3</v>
      </c>
      <c r="B39" s="1270" t="s">
        <v>1059</v>
      </c>
      <c r="C39" s="1270"/>
      <c r="D39" s="1065"/>
      <c r="E39" s="1065"/>
      <c r="F39" s="1065"/>
      <c r="G39" s="1065"/>
      <c r="H39" s="1065"/>
      <c r="I39" s="1068">
        <f t="shared" ref="I39:Q39" si="1">SUM(I13:I37)</f>
        <v>1.9999999231658876</v>
      </c>
      <c r="J39" s="1088">
        <f t="shared" si="1"/>
        <v>-429095671.79476762</v>
      </c>
      <c r="K39" s="1088">
        <f t="shared" si="1"/>
        <v>0</v>
      </c>
      <c r="L39" s="1088">
        <f t="shared" si="1"/>
        <v>0</v>
      </c>
      <c r="M39" s="1088">
        <f t="shared" si="1"/>
        <v>0</v>
      </c>
      <c r="N39" s="1088">
        <f>-SUM(N13:N37)</f>
        <v>-39089531.218222916</v>
      </c>
      <c r="O39" s="1088">
        <f>-SUM(O13:O37)</f>
        <v>0</v>
      </c>
      <c r="P39" s="1088">
        <f t="shared" si="1"/>
        <v>2.0000000894069672</v>
      </c>
      <c r="Q39" s="1088">
        <f t="shared" si="1"/>
        <v>-390006140.57654476</v>
      </c>
      <c r="R39" s="1069"/>
      <c r="S39" s="1039"/>
      <c r="T39" s="1039"/>
      <c r="U39" s="1039"/>
      <c r="V39" s="1039"/>
      <c r="W39" s="1039"/>
    </row>
    <row r="40" spans="1:23" ht="15.75" thickTop="1">
      <c r="A40" s="1042"/>
      <c r="B40" s="1044"/>
      <c r="C40" s="1064"/>
      <c r="D40" s="1048"/>
      <c r="E40" s="1048"/>
      <c r="F40" s="1048"/>
      <c r="G40" s="1048"/>
      <c r="H40" s="1048"/>
      <c r="I40" s="1070"/>
      <c r="J40" s="1062"/>
      <c r="K40" s="1071"/>
      <c r="L40" s="1071"/>
      <c r="M40" s="1071"/>
      <c r="N40" s="1072" t="s">
        <v>1058</v>
      </c>
      <c r="O40" s="1072"/>
      <c r="P40" s="1071"/>
      <c r="Q40" s="1073"/>
      <c r="R40" s="1069"/>
      <c r="S40" s="1039"/>
      <c r="T40" s="1039"/>
      <c r="U40" s="1039"/>
      <c r="V40" s="1039"/>
      <c r="W40" s="1039"/>
    </row>
    <row r="41" spans="1:23">
      <c r="A41" s="1049" t="s">
        <v>1042</v>
      </c>
      <c r="B41" s="1044"/>
      <c r="C41" s="1064"/>
      <c r="D41" s="1048"/>
      <c r="E41" s="1048"/>
      <c r="F41" s="1048"/>
      <c r="G41" s="1048"/>
      <c r="H41" s="1048"/>
      <c r="I41" s="1070"/>
      <c r="J41" s="1062"/>
      <c r="K41" s="1071"/>
      <c r="L41" s="1071"/>
      <c r="M41" s="1071"/>
      <c r="N41" s="1062"/>
      <c r="O41" s="1062"/>
      <c r="P41" s="1071"/>
      <c r="Q41" s="1073"/>
      <c r="R41" s="1069"/>
      <c r="S41" s="1039"/>
      <c r="T41" s="1039"/>
      <c r="U41" s="1039"/>
      <c r="V41" s="1039"/>
      <c r="W41" s="1039"/>
    </row>
    <row r="42" spans="1:23" ht="15">
      <c r="A42" s="1042"/>
      <c r="B42" s="1043"/>
      <c r="C42" s="1042"/>
      <c r="D42" s="1052"/>
      <c r="E42" s="1052"/>
      <c r="F42" s="1052"/>
      <c r="G42" s="1052"/>
      <c r="H42" s="1052"/>
      <c r="I42" s="1052"/>
      <c r="J42" s="1052"/>
      <c r="K42" s="1052"/>
      <c r="L42" s="1052"/>
      <c r="M42" s="1052"/>
      <c r="N42" s="1052"/>
      <c r="O42" s="1052"/>
      <c r="P42" s="1268" t="s">
        <v>1002</v>
      </c>
      <c r="Q42" s="1268"/>
      <c r="R42" s="1051"/>
      <c r="S42" s="1039"/>
      <c r="T42" s="1039"/>
      <c r="U42" s="1039"/>
      <c r="V42" s="1039"/>
      <c r="W42" s="1039"/>
    </row>
    <row r="43" spans="1:23" ht="15">
      <c r="A43" s="1042"/>
      <c r="B43" s="1053" t="s">
        <v>1003</v>
      </c>
      <c r="C43" s="1054"/>
      <c r="D43" s="1054"/>
      <c r="E43" s="1054"/>
      <c r="F43" s="1054"/>
      <c r="G43" s="1054"/>
      <c r="H43" s="1054"/>
      <c r="I43" s="1054"/>
      <c r="J43" s="1054"/>
      <c r="K43" s="1054"/>
      <c r="L43" s="1054"/>
      <c r="M43" s="1054"/>
      <c r="N43" s="1054"/>
      <c r="O43" s="1054"/>
      <c r="P43" s="1054"/>
      <c r="Q43" s="1054"/>
      <c r="R43" s="1039"/>
      <c r="S43" s="1039"/>
      <c r="T43" s="1039"/>
      <c r="U43" s="1039"/>
      <c r="V43" s="1039"/>
      <c r="W43" s="1039"/>
    </row>
    <row r="44" spans="1:23">
      <c r="A44" s="1043" t="s">
        <v>1043</v>
      </c>
      <c r="B44" s="1079" t="s">
        <v>1005</v>
      </c>
      <c r="C44" s="1043" t="s">
        <v>1504</v>
      </c>
      <c r="D44" s="1043" t="s">
        <v>1502</v>
      </c>
      <c r="E44" s="1043" t="s">
        <v>1007</v>
      </c>
      <c r="F44" s="1044"/>
      <c r="G44" s="1043"/>
      <c r="H44" s="1043"/>
      <c r="I44" s="1055">
        <v>50141889.823346838</v>
      </c>
      <c r="J44" s="1056"/>
      <c r="K44" s="1055"/>
      <c r="L44" s="1055"/>
      <c r="M44" s="1055">
        <v>-5821125.6900000013</v>
      </c>
      <c r="N44" s="1055"/>
      <c r="O44" s="1055"/>
      <c r="P44" s="1084">
        <f>SUM(I44:O44)</f>
        <v>44320764.133346841</v>
      </c>
      <c r="Q44" s="1065"/>
      <c r="R44" s="1059" t="s">
        <v>635</v>
      </c>
      <c r="S44" s="1039"/>
      <c r="T44" s="1039"/>
      <c r="U44" s="1039"/>
      <c r="V44" s="1039"/>
      <c r="W44" s="1039"/>
    </row>
    <row r="45" spans="1:23">
      <c r="A45" s="1043" t="s">
        <v>1044</v>
      </c>
      <c r="B45" s="1079" t="s">
        <v>1177</v>
      </c>
      <c r="C45" s="1043" t="s">
        <v>1180</v>
      </c>
      <c r="D45" s="1043" t="s">
        <v>1021</v>
      </c>
      <c r="E45" s="1043" t="s">
        <v>1176</v>
      </c>
      <c r="F45" s="1044"/>
      <c r="G45" s="1043"/>
      <c r="H45" s="1043"/>
      <c r="I45" s="1059">
        <v>34244.732784691267</v>
      </c>
      <c r="J45" s="1152"/>
      <c r="K45" s="1151"/>
      <c r="L45" s="1151"/>
      <c r="M45" s="1151">
        <v>-2938.93</v>
      </c>
      <c r="N45" s="1151"/>
      <c r="O45" s="1151"/>
      <c r="P45" s="1084">
        <f>SUM(I45:O45)</f>
        <v>31305.802784691266</v>
      </c>
      <c r="Q45" s="1065"/>
      <c r="R45" s="1059"/>
      <c r="S45" s="1039"/>
      <c r="T45" s="1039"/>
      <c r="U45" s="1039"/>
      <c r="V45" s="1039"/>
      <c r="W45" s="1039"/>
    </row>
    <row r="46" spans="1:23">
      <c r="A46" s="1043" t="s">
        <v>1045</v>
      </c>
      <c r="B46" s="1079" t="s">
        <v>1016</v>
      </c>
      <c r="C46" s="1043" t="s">
        <v>1017</v>
      </c>
      <c r="D46" s="1043" t="s">
        <v>1011</v>
      </c>
      <c r="E46" s="1043" t="s">
        <v>1007</v>
      </c>
      <c r="F46" s="1060">
        <v>-185402169</v>
      </c>
      <c r="G46" s="1049" t="s">
        <v>1018</v>
      </c>
      <c r="H46" s="1049" t="s">
        <v>1019</v>
      </c>
      <c r="I46" s="1065"/>
      <c r="J46" s="1055">
        <v>-156561992.94288895</v>
      </c>
      <c r="K46" s="1055"/>
      <c r="L46" s="1055"/>
      <c r="M46" s="1055"/>
      <c r="N46" s="1055">
        <v>1275891.8885888194</v>
      </c>
      <c r="O46" s="1055"/>
      <c r="P46" s="1065"/>
      <c r="Q46" s="1084">
        <f>SUM(I46:O46)</f>
        <v>-155286101.05430013</v>
      </c>
      <c r="R46" s="1269" t="s">
        <v>1071</v>
      </c>
      <c r="S46" s="1039"/>
      <c r="T46" s="1039"/>
      <c r="U46" s="1039"/>
      <c r="V46" s="1039"/>
      <c r="W46" s="1039"/>
    </row>
    <row r="47" spans="1:23">
      <c r="A47" s="1043" t="s">
        <v>1046</v>
      </c>
      <c r="B47" s="1079" t="s">
        <v>1016</v>
      </c>
      <c r="C47" s="1043" t="s">
        <v>1017</v>
      </c>
      <c r="D47" s="1043" t="s">
        <v>1021</v>
      </c>
      <c r="E47" s="1043" t="s">
        <v>1007</v>
      </c>
      <c r="F47" s="1062">
        <v>-29860604</v>
      </c>
      <c r="G47" s="1049" t="s">
        <v>1022</v>
      </c>
      <c r="H47" s="1049" t="s">
        <v>1023</v>
      </c>
      <c r="I47" s="1065"/>
      <c r="J47" s="1055">
        <v>-26279538.036584705</v>
      </c>
      <c r="K47" s="1055"/>
      <c r="L47" s="1055"/>
      <c r="M47" s="1055"/>
      <c r="N47" s="1055">
        <v>8759845.7344711851</v>
      </c>
      <c r="O47" s="1055"/>
      <c r="P47" s="1065"/>
      <c r="Q47" s="1084">
        <f>SUM(I47:O47)</f>
        <v>-17519692.302113518</v>
      </c>
      <c r="R47" s="1269"/>
      <c r="S47" s="1039"/>
      <c r="T47" s="1039"/>
      <c r="U47" s="1039"/>
      <c r="V47" s="1039"/>
      <c r="W47" s="1039"/>
    </row>
    <row r="48" spans="1:23">
      <c r="A48" s="1043" t="s">
        <v>1047</v>
      </c>
      <c r="B48" s="1079" t="s">
        <v>1025</v>
      </c>
      <c r="C48" s="1043" t="s">
        <v>1026</v>
      </c>
      <c r="D48" s="1043" t="s">
        <v>1011</v>
      </c>
      <c r="E48" s="1043" t="s">
        <v>1007</v>
      </c>
      <c r="F48" s="1062"/>
      <c r="G48" s="1049"/>
      <c r="H48" s="1049"/>
      <c r="I48" s="1055">
        <v>156561992.94288895</v>
      </c>
      <c r="J48" s="1065"/>
      <c r="K48" s="1055"/>
      <c r="L48" s="1055"/>
      <c r="M48" s="1055">
        <v>-1275891.8885888192</v>
      </c>
      <c r="N48" s="1055"/>
      <c r="O48" s="1055"/>
      <c r="P48" s="1084">
        <f>SUM(I48:O48)</f>
        <v>155286101.05430013</v>
      </c>
      <c r="Q48" s="1065"/>
      <c r="R48" s="1271" t="s">
        <v>635</v>
      </c>
      <c r="S48" s="1039"/>
      <c r="T48" s="1039"/>
      <c r="U48" s="1039"/>
      <c r="V48" s="1039"/>
      <c r="W48" s="1039"/>
    </row>
    <row r="49" spans="1:23">
      <c r="A49" s="1043" t="s">
        <v>1048</v>
      </c>
      <c r="B49" s="1079" t="s">
        <v>1025</v>
      </c>
      <c r="C49" s="1043" t="s">
        <v>1026</v>
      </c>
      <c r="D49" s="1043" t="s">
        <v>1021</v>
      </c>
      <c r="E49" s="1043" t="s">
        <v>1007</v>
      </c>
      <c r="F49" s="1062"/>
      <c r="G49" s="1049"/>
      <c r="H49" s="1049"/>
      <c r="I49" s="1055">
        <v>26279540.036584705</v>
      </c>
      <c r="J49" s="1065"/>
      <c r="K49" s="1055"/>
      <c r="L49" s="1055"/>
      <c r="M49" s="1055">
        <v>-8759845.7344711833</v>
      </c>
      <c r="N49" s="1055"/>
      <c r="O49" s="1055"/>
      <c r="P49" s="1084">
        <f>SUM(I49:O49)</f>
        <v>17519694.302113522</v>
      </c>
      <c r="Q49" s="1065"/>
      <c r="R49" s="1271"/>
      <c r="S49" s="1039"/>
      <c r="T49" s="1039"/>
      <c r="U49" s="1039"/>
      <c r="V49" s="1039"/>
      <c r="W49" s="1039"/>
    </row>
    <row r="50" spans="1:23">
      <c r="A50" s="1043" t="s">
        <v>1049</v>
      </c>
      <c r="B50" s="1079" t="s">
        <v>1029</v>
      </c>
      <c r="C50" s="1043" t="s">
        <v>1030</v>
      </c>
      <c r="D50" s="1043" t="s">
        <v>1021</v>
      </c>
      <c r="E50" s="1043" t="s">
        <v>1007</v>
      </c>
      <c r="F50" s="1062">
        <v>18056743</v>
      </c>
      <c r="G50" s="1049" t="s">
        <v>1022</v>
      </c>
      <c r="H50" s="1049" t="s">
        <v>1023</v>
      </c>
      <c r="I50" s="1065" t="s">
        <v>114</v>
      </c>
      <c r="J50" s="1055">
        <v>17385303.725173533</v>
      </c>
      <c r="K50" s="1055"/>
      <c r="L50" s="1055"/>
      <c r="M50" s="1055"/>
      <c r="N50" s="1055">
        <v>-11310001.756549299</v>
      </c>
      <c r="O50" s="1055"/>
      <c r="P50" s="1061" t="s">
        <v>114</v>
      </c>
      <c r="Q50" s="1084">
        <f>SUM(I50:O50)</f>
        <v>6075301.9686242342</v>
      </c>
      <c r="R50" s="1059" t="s">
        <v>1171</v>
      </c>
      <c r="S50" s="1039"/>
      <c r="T50" s="1039"/>
      <c r="U50" s="1039"/>
      <c r="V50" s="1039"/>
      <c r="W50" s="1039"/>
    </row>
    <row r="51" spans="1:23">
      <c r="A51" s="1043" t="s">
        <v>1050</v>
      </c>
      <c r="B51" s="1079" t="s">
        <v>1029</v>
      </c>
      <c r="C51" s="1043" t="s">
        <v>1179</v>
      </c>
      <c r="D51" s="1043" t="s">
        <v>1021</v>
      </c>
      <c r="E51" s="1043" t="s">
        <v>1176</v>
      </c>
      <c r="F51" s="1062"/>
      <c r="G51" s="1049"/>
      <c r="H51" s="1049"/>
      <c r="I51" s="1065"/>
      <c r="J51" s="1151">
        <v>244511</v>
      </c>
      <c r="K51" s="1151"/>
      <c r="L51" s="1151"/>
      <c r="M51" s="1151"/>
      <c r="N51" s="1151">
        <v>-27167.956666666672</v>
      </c>
      <c r="O51" s="1151"/>
      <c r="P51" s="1153"/>
      <c r="Q51" s="1084">
        <f t="shared" ref="Q51:Q52" si="2">SUM(I51:O51)</f>
        <v>217343.04333333333</v>
      </c>
      <c r="R51" s="1059"/>
      <c r="S51" s="1039"/>
      <c r="T51" s="1039"/>
      <c r="U51" s="1039"/>
      <c r="V51" s="1039"/>
      <c r="W51" s="1039"/>
    </row>
    <row r="52" spans="1:23">
      <c r="A52" s="1043" t="s">
        <v>1183</v>
      </c>
      <c r="B52" s="1079" t="s">
        <v>1174</v>
      </c>
      <c r="C52" s="1043" t="s">
        <v>1175</v>
      </c>
      <c r="D52" s="1043" t="s">
        <v>1021</v>
      </c>
      <c r="E52" s="1043" t="s">
        <v>1176</v>
      </c>
      <c r="F52" s="1062"/>
      <c r="G52" s="1049"/>
      <c r="H52" s="1049"/>
      <c r="I52" s="1065"/>
      <c r="J52" s="1151">
        <v>-1164341</v>
      </c>
      <c r="K52" s="1151"/>
      <c r="L52" s="1151"/>
      <c r="M52" s="1151"/>
      <c r="N52" s="1151">
        <v>129371.22222222226</v>
      </c>
      <c r="O52" s="1151"/>
      <c r="P52" s="1153"/>
      <c r="Q52" s="1084">
        <f t="shared" si="2"/>
        <v>-1034969.7777777778</v>
      </c>
      <c r="R52" s="1059"/>
      <c r="S52" s="1039"/>
      <c r="T52" s="1039"/>
      <c r="U52" s="1039"/>
      <c r="V52" s="1039"/>
      <c r="W52" s="1039"/>
    </row>
    <row r="53" spans="1:23">
      <c r="A53" s="1043" t="s">
        <v>1184</v>
      </c>
      <c r="B53" s="1079" t="s">
        <v>1032</v>
      </c>
      <c r="C53" s="1043" t="s">
        <v>1033</v>
      </c>
      <c r="D53" s="1043" t="s">
        <v>1021</v>
      </c>
      <c r="E53" s="1043" t="s">
        <v>1007</v>
      </c>
      <c r="F53" s="1060"/>
      <c r="G53" s="1049"/>
      <c r="H53" s="1049"/>
      <c r="I53" s="1055">
        <v>-17385304.725173533</v>
      </c>
      <c r="J53" s="1056"/>
      <c r="K53" s="1055"/>
      <c r="L53" s="1055">
        <v>-7678848.0873752348</v>
      </c>
      <c r="M53" s="1055">
        <v>11310001.756549299</v>
      </c>
      <c r="N53" s="1055"/>
      <c r="O53" s="1055"/>
      <c r="P53" s="1084">
        <f>SUM(I53:O53)</f>
        <v>-13754151.055999469</v>
      </c>
      <c r="Q53" s="1061"/>
      <c r="R53" s="1080" t="s">
        <v>635</v>
      </c>
      <c r="S53" s="1039"/>
      <c r="T53" s="1039"/>
      <c r="U53" s="1039"/>
      <c r="V53" s="1039"/>
      <c r="W53" s="1039"/>
    </row>
    <row r="54" spans="1:23">
      <c r="A54" s="1043" t="s">
        <v>1185</v>
      </c>
      <c r="B54" s="1079" t="s">
        <v>1172</v>
      </c>
      <c r="C54" s="1154" t="s">
        <v>1173</v>
      </c>
      <c r="D54" s="1043" t="s">
        <v>1021</v>
      </c>
      <c r="E54" s="1043" t="s">
        <v>1176</v>
      </c>
      <c r="F54" s="1060"/>
      <c r="G54" s="1049"/>
      <c r="H54" s="1049"/>
      <c r="I54" s="1151">
        <v>1164341</v>
      </c>
      <c r="J54" s="1152"/>
      <c r="K54" s="1151"/>
      <c r="L54" s="1151"/>
      <c r="M54" s="1151">
        <v>-129371.22222222226</v>
      </c>
      <c r="N54" s="1151"/>
      <c r="O54" s="1151"/>
      <c r="P54" s="1084">
        <f>SUM(I54:O54)</f>
        <v>1034969.7777777778</v>
      </c>
      <c r="Q54" s="1061"/>
      <c r="R54" s="1080"/>
      <c r="S54" s="1039"/>
      <c r="T54" s="1039"/>
      <c r="U54" s="1039"/>
      <c r="V54" s="1039"/>
      <c r="W54" s="1039"/>
    </row>
    <row r="55" spans="1:23" ht="12.75">
      <c r="A55" s="1213" t="s">
        <v>1186</v>
      </c>
      <c r="B55" s="1228" t="s">
        <v>1511</v>
      </c>
      <c r="C55" s="1213" t="s">
        <v>1498</v>
      </c>
      <c r="D55" s="1213" t="s">
        <v>1502</v>
      </c>
      <c r="E55" s="1213" t="s">
        <v>1007</v>
      </c>
      <c r="F55" s="1217"/>
      <c r="G55" s="1218"/>
      <c r="H55" s="1219"/>
      <c r="I55" s="1214"/>
      <c r="J55" s="1151">
        <v>0</v>
      </c>
      <c r="K55" s="1151"/>
      <c r="L55" s="1151"/>
      <c r="M55" s="1151"/>
      <c r="N55" s="1151">
        <v>28887095.185840193</v>
      </c>
      <c r="O55" s="1151"/>
      <c r="P55" s="1220"/>
      <c r="Q55" s="1221">
        <f t="shared" ref="Q55" si="3">SUM(J55:O55)</f>
        <v>28887095.185840193</v>
      </c>
      <c r="R55" s="1080"/>
      <c r="S55" s="1039"/>
      <c r="T55" s="1039"/>
      <c r="U55" s="1039"/>
      <c r="V55" s="1039"/>
      <c r="W55" s="1039"/>
    </row>
    <row r="56" spans="1:23">
      <c r="A56" s="1213" t="s">
        <v>1512</v>
      </c>
      <c r="B56" s="1229" t="s">
        <v>1005</v>
      </c>
      <c r="C56" s="1213" t="s">
        <v>1498</v>
      </c>
      <c r="D56" s="1213" t="s">
        <v>1502</v>
      </c>
      <c r="E56" s="1213" t="s">
        <v>1007</v>
      </c>
      <c r="F56" s="1217"/>
      <c r="G56" s="1218"/>
      <c r="H56" s="1219"/>
      <c r="I56" s="1151"/>
      <c r="J56" s="1214"/>
      <c r="K56" s="1151"/>
      <c r="L56" s="1151">
        <v>-28887095.185840193</v>
      </c>
      <c r="M56" s="1151"/>
      <c r="N56" s="1151"/>
      <c r="O56" s="1151"/>
      <c r="P56" s="1216">
        <f t="shared" ref="P56:P59" si="4">SUM(I56:O56)</f>
        <v>-28887095.185840193</v>
      </c>
      <c r="Q56" s="1220"/>
      <c r="R56" s="1080"/>
      <c r="S56" s="1039"/>
      <c r="T56" s="1039"/>
      <c r="U56" s="1039"/>
      <c r="V56" s="1039"/>
      <c r="W56" s="1039"/>
    </row>
    <row r="57" spans="1:23">
      <c r="A57" s="1213" t="s">
        <v>1513</v>
      </c>
      <c r="B57" s="1229" t="s">
        <v>1177</v>
      </c>
      <c r="C57" s="1213" t="s">
        <v>1501</v>
      </c>
      <c r="D57" s="1213" t="s">
        <v>1502</v>
      </c>
      <c r="E57" s="1043" t="s">
        <v>1176</v>
      </c>
      <c r="F57" s="1217"/>
      <c r="G57" s="1218"/>
      <c r="H57" s="1219"/>
      <c r="I57" s="1151"/>
      <c r="J57" s="1214"/>
      <c r="K57" s="1151"/>
      <c r="L57" s="1151"/>
      <c r="M57" s="1151">
        <v>6383896.0300000003</v>
      </c>
      <c r="N57" s="1151"/>
      <c r="O57" s="1151"/>
      <c r="P57" s="1216">
        <f t="shared" si="4"/>
        <v>6383896.0300000003</v>
      </c>
      <c r="Q57" s="1220"/>
      <c r="R57" s="1080"/>
      <c r="S57" s="1039"/>
      <c r="T57" s="1039"/>
      <c r="U57" s="1039"/>
      <c r="V57" s="1039"/>
      <c r="W57" s="1039"/>
    </row>
    <row r="58" spans="1:23" ht="12.75">
      <c r="A58" s="1213" t="s">
        <v>1514</v>
      </c>
      <c r="B58" s="1229" t="s">
        <v>1515</v>
      </c>
      <c r="C58" t="s">
        <v>1504</v>
      </c>
      <c r="D58" s="1213" t="s">
        <v>1011</v>
      </c>
      <c r="E58" s="1213" t="s">
        <v>1007</v>
      </c>
      <c r="F58" s="1217"/>
      <c r="G58" s="1218"/>
      <c r="H58" s="1219"/>
      <c r="I58" s="1151"/>
      <c r="J58" s="1214"/>
      <c r="K58" s="1151"/>
      <c r="L58" s="1151"/>
      <c r="M58" s="1151"/>
      <c r="N58" s="1151"/>
      <c r="O58" s="1151"/>
      <c r="P58" s="1216">
        <f t="shared" si="4"/>
        <v>0</v>
      </c>
      <c r="Q58" s="1220"/>
      <c r="R58" s="1080"/>
      <c r="S58" s="1039"/>
      <c r="T58" s="1039"/>
      <c r="U58" s="1039"/>
      <c r="V58" s="1039"/>
      <c r="W58" s="1039"/>
    </row>
    <row r="59" spans="1:23" ht="12.75">
      <c r="A59" s="1213" t="s">
        <v>1516</v>
      </c>
      <c r="B59" s="1229" t="s">
        <v>1517</v>
      </c>
      <c r="C59" t="s">
        <v>1501</v>
      </c>
      <c r="D59" s="1213" t="s">
        <v>1011</v>
      </c>
      <c r="E59" s="1043" t="s">
        <v>1176</v>
      </c>
      <c r="F59" s="1217"/>
      <c r="G59" s="1218"/>
      <c r="H59" s="1219"/>
      <c r="I59" s="1151"/>
      <c r="J59" s="1214"/>
      <c r="K59" s="1151"/>
      <c r="L59" s="1151">
        <v>-1106049.6878876388</v>
      </c>
      <c r="M59" s="1151"/>
      <c r="N59" s="1151"/>
      <c r="O59" s="1151"/>
      <c r="P59" s="1216">
        <f t="shared" si="4"/>
        <v>-1106049.6878876388</v>
      </c>
      <c r="Q59" s="1220"/>
      <c r="R59" s="1080"/>
      <c r="S59" s="1039"/>
      <c r="T59" s="1039"/>
      <c r="U59" s="1039"/>
      <c r="V59" s="1039"/>
      <c r="W59" s="1039"/>
    </row>
    <row r="60" spans="1:23">
      <c r="A60" s="1213" t="s">
        <v>1518</v>
      </c>
      <c r="B60" s="1218" t="s">
        <v>1058</v>
      </c>
      <c r="C60" s="1213"/>
      <c r="D60" s="1213"/>
      <c r="E60" s="1213"/>
      <c r="F60" s="1222"/>
      <c r="G60" s="1218"/>
      <c r="H60" s="1218"/>
      <c r="I60" s="1151"/>
      <c r="J60" s="1151"/>
      <c r="K60" s="1151"/>
      <c r="L60" s="1151"/>
      <c r="M60" s="1151"/>
      <c r="N60" s="1151"/>
      <c r="O60" s="1151"/>
      <c r="P60" s="1223"/>
      <c r="Q60" s="1224">
        <f t="shared" ref="Q60" si="5">SUM(J60:O60)</f>
        <v>0</v>
      </c>
      <c r="R60" s="1080"/>
      <c r="S60" s="1039"/>
      <c r="T60" s="1039"/>
      <c r="U60" s="1039"/>
      <c r="V60" s="1039"/>
      <c r="W60" s="1039"/>
    </row>
    <row r="61" spans="1:23" ht="15">
      <c r="A61" s="1042"/>
      <c r="B61" s="1042"/>
      <c r="C61" s="1042"/>
      <c r="D61" s="1042"/>
      <c r="E61" s="1042"/>
      <c r="F61" s="1042"/>
      <c r="G61" s="1042"/>
      <c r="H61" s="1042"/>
      <c r="I61" s="1042"/>
      <c r="J61" s="1042"/>
      <c r="K61" s="1042"/>
      <c r="L61" s="1042"/>
      <c r="M61" s="1042"/>
      <c r="N61" s="1042"/>
      <c r="O61" s="1042"/>
      <c r="P61" s="1042"/>
      <c r="Q61" s="1042"/>
      <c r="R61" s="1042"/>
      <c r="S61" s="1039"/>
      <c r="T61" s="1039"/>
      <c r="U61" s="1039"/>
      <c r="V61" s="1039"/>
      <c r="W61" s="1039"/>
    </row>
    <row r="62" spans="1:23" ht="15">
      <c r="A62" s="1042"/>
      <c r="B62" s="1053" t="s">
        <v>1035</v>
      </c>
      <c r="C62" s="1039"/>
      <c r="D62" s="1039"/>
      <c r="E62" s="1039"/>
      <c r="F62" s="1039"/>
      <c r="G62" s="1039"/>
      <c r="H62" s="1039"/>
      <c r="I62" s="1039"/>
      <c r="J62" s="1039"/>
      <c r="K62" s="1039"/>
      <c r="L62" s="1039"/>
      <c r="M62" s="1039"/>
      <c r="N62" s="1039"/>
      <c r="O62" s="1039"/>
      <c r="P62" s="1039"/>
      <c r="Q62" s="1039"/>
      <c r="R62" s="1039"/>
      <c r="S62" s="1039"/>
      <c r="T62" s="1039"/>
      <c r="U62" s="1039"/>
      <c r="V62" s="1039"/>
      <c r="W62" s="1039"/>
    </row>
    <row r="63" spans="1:23">
      <c r="A63" s="1043" t="s">
        <v>620</v>
      </c>
      <c r="B63" s="1044">
        <v>182.3</v>
      </c>
      <c r="C63" s="1064" t="s">
        <v>1037</v>
      </c>
      <c r="D63" s="1065" t="s">
        <v>114</v>
      </c>
      <c r="E63" s="1043" t="s">
        <v>1007</v>
      </c>
      <c r="F63" s="1065"/>
      <c r="G63" s="1065" t="s">
        <v>114</v>
      </c>
      <c r="H63" s="1065"/>
      <c r="I63" s="1066">
        <v>0</v>
      </c>
      <c r="J63" s="1065"/>
      <c r="K63" s="1055"/>
      <c r="L63" s="1055">
        <v>37671992.961103067</v>
      </c>
      <c r="M63" s="1055"/>
      <c r="N63" s="1065"/>
      <c r="O63" s="1065"/>
      <c r="P63" s="1058">
        <f>SUM(I63:O63)</f>
        <v>37671992.961103067</v>
      </c>
      <c r="Q63" s="1063"/>
      <c r="R63" s="1059" t="s">
        <v>1038</v>
      </c>
      <c r="S63" s="1039"/>
      <c r="T63" s="1039"/>
      <c r="U63" s="1039"/>
      <c r="V63" s="1039"/>
      <c r="W63" s="1039"/>
    </row>
    <row r="64" spans="1:23">
      <c r="A64" s="1043" t="s">
        <v>621</v>
      </c>
      <c r="B64" s="1044">
        <v>254</v>
      </c>
      <c r="C64" s="1064" t="s">
        <v>1040</v>
      </c>
      <c r="D64" s="1065" t="s">
        <v>114</v>
      </c>
      <c r="E64" s="1043" t="s">
        <v>1007</v>
      </c>
      <c r="F64" s="1065"/>
      <c r="G64" s="1065" t="s">
        <v>114</v>
      </c>
      <c r="H64" s="1065"/>
      <c r="I64" s="1066">
        <v>-215598118.07764694</v>
      </c>
      <c r="J64" s="1065"/>
      <c r="K64" s="1055"/>
      <c r="L64" s="1055"/>
      <c r="M64" s="1055">
        <v>4546861.5565107055</v>
      </c>
      <c r="N64" s="1065"/>
      <c r="O64" s="1065"/>
      <c r="P64" s="1058">
        <f>SUM(I64:O64)</f>
        <v>-211051256.52113622</v>
      </c>
      <c r="Q64" s="1063"/>
      <c r="R64" s="1059" t="s">
        <v>1038</v>
      </c>
      <c r="S64" s="1039"/>
      <c r="T64" s="1039"/>
      <c r="U64" s="1039"/>
      <c r="V64" s="1039"/>
      <c r="W64" s="1039"/>
    </row>
    <row r="65" spans="1:23">
      <c r="A65" s="1043" t="s">
        <v>1051</v>
      </c>
      <c r="B65" s="1044">
        <v>254.00020000000001</v>
      </c>
      <c r="C65" s="1064" t="s">
        <v>1181</v>
      </c>
      <c r="D65" s="1065"/>
      <c r="E65" s="1043" t="s">
        <v>1176</v>
      </c>
      <c r="F65" s="1065"/>
      <c r="G65" s="1065"/>
      <c r="H65" s="1065"/>
      <c r="I65" s="1066">
        <v>-1198585.7327846913</v>
      </c>
      <c r="J65" s="1065"/>
      <c r="K65" s="1151"/>
      <c r="L65" s="1151"/>
      <c r="M65" s="1151">
        <v>-6251585.8777777776</v>
      </c>
      <c r="N65" s="1065"/>
      <c r="O65" s="1065"/>
      <c r="P65" s="1058">
        <f>SUM(I65:O65)</f>
        <v>-7450171.6105624689</v>
      </c>
      <c r="Q65" s="1063"/>
      <c r="R65" s="1059"/>
      <c r="S65" s="1039"/>
      <c r="T65" s="1039"/>
      <c r="U65" s="1039"/>
      <c r="V65" s="1039"/>
      <c r="W65" s="1039"/>
    </row>
    <row r="66" spans="1:23">
      <c r="A66" s="1043" t="s">
        <v>1188</v>
      </c>
      <c r="B66" s="1150" t="s">
        <v>1166</v>
      </c>
      <c r="C66" s="1064"/>
      <c r="D66" s="1065"/>
      <c r="E66" s="1043"/>
      <c r="F66" s="1065"/>
      <c r="G66" s="1065"/>
      <c r="H66" s="1065"/>
      <c r="I66" s="1055"/>
      <c r="J66" s="1065"/>
      <c r="K66" s="1055"/>
      <c r="L66" s="1055"/>
      <c r="M66" s="1055"/>
      <c r="N66" s="1065"/>
      <c r="O66" s="1065"/>
      <c r="P66" s="1063"/>
      <c r="Q66" s="1063"/>
      <c r="R66" s="1059"/>
      <c r="S66" s="1039"/>
      <c r="T66" s="1039"/>
      <c r="U66" s="1039"/>
      <c r="V66" s="1039"/>
      <c r="W66" s="1039"/>
    </row>
    <row r="67" spans="1:23" ht="15">
      <c r="A67" s="1042"/>
      <c r="B67" s="1044"/>
      <c r="C67" s="1064"/>
      <c r="D67" s="1048"/>
      <c r="E67" s="1048"/>
      <c r="F67" s="1048"/>
      <c r="G67" s="1048"/>
      <c r="H67" s="1048"/>
      <c r="I67" s="1048"/>
      <c r="J67" s="1048"/>
      <c r="K67" s="1048"/>
      <c r="L67" s="1048"/>
      <c r="M67" s="1048"/>
      <c r="N67" s="1048"/>
      <c r="O67" s="1048"/>
      <c r="P67" s="1048"/>
      <c r="Q67" s="1048"/>
      <c r="R67" s="1067"/>
      <c r="S67" s="1039"/>
      <c r="T67" s="1039"/>
      <c r="U67" s="1039"/>
      <c r="V67" s="1039"/>
      <c r="W67" s="1039"/>
    </row>
    <row r="68" spans="1:23" ht="12.75" thickBot="1">
      <c r="A68" s="1076">
        <v>6</v>
      </c>
      <c r="B68" s="1270" t="s">
        <v>1060</v>
      </c>
      <c r="C68" s="1270"/>
      <c r="D68" s="1065"/>
      <c r="E68" s="1065"/>
      <c r="F68" s="1065"/>
      <c r="G68" s="1065"/>
      <c r="H68" s="1065"/>
      <c r="I68" s="1068">
        <f>SUM(I44:I66)</f>
        <v>-2.7939677238464355E-9</v>
      </c>
      <c r="J68" s="1088">
        <f>SUM(J44:J66)</f>
        <v>-166376057.25430012</v>
      </c>
      <c r="K68" s="1088">
        <f t="shared" ref="K68:Q68" si="6">SUM(K44:K66)</f>
        <v>0</v>
      </c>
      <c r="L68" s="1088">
        <f t="shared" si="6"/>
        <v>0</v>
      </c>
      <c r="M68" s="1088">
        <f t="shared" si="6"/>
        <v>0</v>
      </c>
      <c r="N68" s="1088">
        <f>-SUM(N44:N66)</f>
        <v>-27715034.317906454</v>
      </c>
      <c r="O68" s="1088">
        <f>-SUM(O44:O66)</f>
        <v>0</v>
      </c>
      <c r="P68" s="1088">
        <f t="shared" si="6"/>
        <v>9.406358003616333E-8</v>
      </c>
      <c r="Q68" s="1088">
        <f t="shared" si="6"/>
        <v>-138661022.93639371</v>
      </c>
      <c r="R68" s="1069"/>
      <c r="S68" s="1039"/>
      <c r="T68" s="1039"/>
      <c r="U68" s="1039"/>
      <c r="V68" s="1039"/>
      <c r="W68" s="1039"/>
    </row>
    <row r="69" spans="1:23" ht="15.75" thickTop="1">
      <c r="A69" s="1042"/>
      <c r="B69" s="1044"/>
      <c r="C69" s="1064"/>
      <c r="D69" s="1048"/>
      <c r="E69" s="1048"/>
      <c r="F69" s="1048"/>
      <c r="G69" s="1048"/>
      <c r="H69" s="1048"/>
      <c r="I69" s="1070"/>
      <c r="J69" s="1062"/>
      <c r="K69" s="1071"/>
      <c r="L69" s="1071"/>
      <c r="M69" s="1071"/>
      <c r="N69" s="1072" t="s">
        <v>1058</v>
      </c>
      <c r="O69" s="1062"/>
      <c r="P69" s="1071"/>
      <c r="Q69" s="1073"/>
      <c r="R69" s="1069"/>
      <c r="S69" s="1039"/>
      <c r="T69" s="1039"/>
      <c r="U69" s="1039"/>
      <c r="V69" s="1039"/>
      <c r="W69" s="1039"/>
    </row>
    <row r="70" spans="1:23" ht="15">
      <c r="A70" s="1042"/>
      <c r="B70" s="1044"/>
      <c r="C70" s="1064"/>
      <c r="D70" s="1048"/>
      <c r="E70" s="1048"/>
      <c r="F70" s="1048"/>
      <c r="G70" s="1048"/>
      <c r="H70" s="1048"/>
      <c r="I70" s="1070"/>
      <c r="J70" s="1062"/>
      <c r="K70" s="1071"/>
      <c r="L70" s="1071"/>
      <c r="M70" s="1071"/>
      <c r="N70" s="1062"/>
      <c r="O70" s="1062"/>
      <c r="P70" s="1071"/>
      <c r="Q70" s="1073"/>
      <c r="R70" s="1069"/>
      <c r="S70" s="1039"/>
      <c r="T70" s="1039"/>
      <c r="U70" s="1039"/>
      <c r="V70" s="1039"/>
      <c r="W70" s="1039"/>
    </row>
    <row r="71" spans="1:23">
      <c r="A71" s="1272" t="s">
        <v>1061</v>
      </c>
      <c r="B71" s="1272"/>
      <c r="C71" s="1272"/>
      <c r="D71" s="1272"/>
      <c r="E71" s="1272"/>
      <c r="F71" s="1272"/>
      <c r="G71" s="1272"/>
      <c r="H71" s="1272"/>
      <c r="I71" s="1272"/>
      <c r="J71" s="1272"/>
      <c r="K71" s="1071"/>
      <c r="L71" s="1071"/>
      <c r="M71" s="1071"/>
      <c r="N71" s="1062"/>
      <c r="O71" s="1062"/>
      <c r="P71" s="1071"/>
      <c r="Q71" s="1073"/>
      <c r="R71" s="1069"/>
      <c r="S71" s="1039"/>
      <c r="T71" s="1039"/>
      <c r="U71" s="1039"/>
      <c r="V71" s="1039"/>
      <c r="W71" s="1039"/>
    </row>
    <row r="72" spans="1:23" ht="27" customHeight="1">
      <c r="A72" s="1272"/>
      <c r="B72" s="1272"/>
      <c r="C72" s="1272"/>
      <c r="D72" s="1272"/>
      <c r="E72" s="1272"/>
      <c r="F72" s="1272"/>
      <c r="G72" s="1272"/>
      <c r="H72" s="1272"/>
      <c r="I72" s="1272"/>
      <c r="J72" s="1272"/>
      <c r="K72" s="1071"/>
      <c r="L72" s="1071"/>
      <c r="M72" s="1071"/>
      <c r="N72" s="1062"/>
      <c r="O72" s="1062"/>
      <c r="P72" s="1071"/>
      <c r="Q72" s="1073"/>
      <c r="R72" s="1069"/>
      <c r="S72" s="1039"/>
      <c r="T72" s="1039"/>
      <c r="U72" s="1039"/>
      <c r="V72" s="1039"/>
      <c r="W72" s="1039"/>
    </row>
    <row r="73" spans="1:23" ht="23.1" customHeight="1">
      <c r="A73" s="1042"/>
      <c r="B73" s="1044"/>
      <c r="C73" s="1064"/>
      <c r="D73" s="1048"/>
      <c r="E73" s="1048"/>
      <c r="F73" s="1048"/>
      <c r="G73" s="1048"/>
      <c r="H73" s="1048"/>
      <c r="I73" s="1070"/>
      <c r="J73" s="1062"/>
      <c r="K73" s="1071"/>
      <c r="L73" s="1071"/>
      <c r="M73" s="1071"/>
      <c r="N73" s="1062"/>
      <c r="O73" s="1062"/>
      <c r="P73" s="1071"/>
      <c r="Q73" s="1073"/>
      <c r="R73" s="1069"/>
      <c r="S73" s="1039"/>
      <c r="T73" s="1039"/>
      <c r="U73" s="1039"/>
      <c r="V73" s="1039"/>
      <c r="W73" s="1039"/>
    </row>
    <row r="74" spans="1:23" ht="15" customHeight="1">
      <c r="A74" s="1042"/>
      <c r="B74" s="1043"/>
      <c r="C74" s="1064"/>
      <c r="D74" s="1048"/>
      <c r="E74" s="1048"/>
      <c r="F74" s="1048"/>
      <c r="G74" s="1048"/>
      <c r="H74" s="1048"/>
      <c r="I74" s="1070"/>
      <c r="J74" s="1073"/>
      <c r="K74" s="1071"/>
      <c r="L74" s="1071"/>
      <c r="M74" s="1071"/>
      <c r="N74" s="1073"/>
      <c r="O74" s="1073"/>
      <c r="P74" s="1071"/>
      <c r="Q74" s="1073"/>
      <c r="R74" s="1069"/>
      <c r="S74" s="1039"/>
      <c r="T74" s="1039"/>
      <c r="U74" s="1039"/>
      <c r="V74" s="1039"/>
      <c r="W74" s="1039"/>
    </row>
    <row r="75" spans="1:23">
      <c r="A75" s="1041" t="s">
        <v>1052</v>
      </c>
      <c r="B75" s="1273" t="s">
        <v>1161</v>
      </c>
      <c r="C75" s="1273"/>
      <c r="D75" s="1273"/>
      <c r="E75" s="1273"/>
      <c r="F75" s="1273"/>
      <c r="G75" s="1273"/>
      <c r="H75" s="1273"/>
      <c r="I75" s="1273"/>
      <c r="J75" s="1273"/>
    </row>
    <row r="76" spans="1:23">
      <c r="B76" s="1273"/>
      <c r="C76" s="1273"/>
      <c r="D76" s="1273"/>
      <c r="E76" s="1273"/>
      <c r="F76" s="1273"/>
      <c r="G76" s="1273"/>
      <c r="H76" s="1273"/>
      <c r="I76" s="1273"/>
      <c r="J76" s="1273"/>
      <c r="K76" s="1041"/>
    </row>
    <row r="77" spans="1:23">
      <c r="B77" s="1273"/>
      <c r="C77" s="1273"/>
      <c r="D77" s="1273"/>
      <c r="E77" s="1273"/>
      <c r="F77" s="1273"/>
      <c r="G77" s="1273"/>
      <c r="H77" s="1273"/>
      <c r="I77" s="1273"/>
      <c r="J77" s="1273"/>
      <c r="K77" s="1074"/>
    </row>
    <row r="78" spans="1:23">
      <c r="B78" s="1273"/>
      <c r="C78" s="1273"/>
      <c r="D78" s="1273"/>
      <c r="E78" s="1273"/>
      <c r="F78" s="1273"/>
      <c r="G78" s="1273"/>
      <c r="H78" s="1273"/>
      <c r="I78" s="1273"/>
      <c r="J78" s="1273"/>
      <c r="K78" s="1074"/>
    </row>
    <row r="79" spans="1:23">
      <c r="B79" s="1273"/>
      <c r="C79" s="1273"/>
      <c r="D79" s="1273"/>
      <c r="E79" s="1273"/>
      <c r="F79" s="1273"/>
      <c r="G79" s="1273"/>
      <c r="H79" s="1273"/>
      <c r="I79" s="1273"/>
      <c r="J79" s="1273"/>
      <c r="K79" s="1074"/>
    </row>
    <row r="80" spans="1:23">
      <c r="B80" s="1148"/>
      <c r="C80" s="1148"/>
      <c r="D80" s="1148"/>
      <c r="E80" s="1148"/>
      <c r="F80" s="1148"/>
      <c r="G80" s="1148"/>
      <c r="H80" s="1148"/>
      <c r="I80" s="1148"/>
      <c r="J80" s="1148"/>
      <c r="K80" s="1074"/>
    </row>
    <row r="81" spans="1:11">
      <c r="A81" s="1037" t="s">
        <v>1053</v>
      </c>
      <c r="B81" s="1149" t="s">
        <v>1054</v>
      </c>
      <c r="C81" s="1149"/>
      <c r="D81" s="1149"/>
      <c r="E81" s="1149"/>
      <c r="F81" s="1149"/>
      <c r="G81" s="1149"/>
      <c r="H81" s="1149"/>
      <c r="I81" s="1149"/>
      <c r="J81" s="1149"/>
      <c r="K81" s="1074"/>
    </row>
    <row r="82" spans="1:11">
      <c r="B82" s="1149"/>
      <c r="C82" s="1149"/>
      <c r="D82" s="1149"/>
      <c r="E82" s="1149"/>
      <c r="F82" s="1149"/>
      <c r="G82" s="1149"/>
      <c r="H82" s="1149"/>
      <c r="I82" s="1149"/>
      <c r="J82" s="1149"/>
      <c r="K82" s="1074"/>
    </row>
    <row r="83" spans="1:11">
      <c r="A83" s="1037" t="s">
        <v>1055</v>
      </c>
      <c r="B83" s="1273" t="s">
        <v>1162</v>
      </c>
      <c r="C83" s="1273"/>
      <c r="D83" s="1273"/>
      <c r="E83" s="1273"/>
      <c r="F83" s="1273"/>
      <c r="G83" s="1273"/>
      <c r="H83" s="1273"/>
      <c r="I83" s="1273"/>
      <c r="J83" s="1273"/>
      <c r="K83" s="1074"/>
    </row>
    <row r="84" spans="1:11">
      <c r="B84" s="1273"/>
      <c r="C84" s="1273"/>
      <c r="D84" s="1273"/>
      <c r="E84" s="1273"/>
      <c r="F84" s="1273"/>
      <c r="G84" s="1273"/>
      <c r="H84" s="1273"/>
      <c r="I84" s="1273"/>
      <c r="J84" s="1273"/>
      <c r="K84" s="1074"/>
    </row>
    <row r="85" spans="1:11">
      <c r="B85" s="1148"/>
      <c r="C85" s="1148"/>
      <c r="D85" s="1148"/>
      <c r="E85" s="1148"/>
      <c r="F85" s="1148"/>
      <c r="G85" s="1148"/>
      <c r="H85" s="1148"/>
      <c r="I85" s="1148"/>
      <c r="J85" s="1148"/>
      <c r="K85" s="1074"/>
    </row>
    <row r="86" spans="1:11">
      <c r="A86" s="1037" t="s">
        <v>1056</v>
      </c>
      <c r="B86" s="1037" t="s">
        <v>1163</v>
      </c>
      <c r="K86" s="1074"/>
    </row>
    <row r="87" spans="1:11">
      <c r="B87" s="1040"/>
      <c r="C87" s="1148"/>
      <c r="D87" s="1148"/>
      <c r="E87" s="1148"/>
      <c r="F87" s="1148"/>
      <c r="G87" s="1148"/>
      <c r="H87" s="1148"/>
      <c r="I87" s="1148"/>
      <c r="J87" s="1148"/>
      <c r="K87" s="1074"/>
    </row>
    <row r="88" spans="1:11">
      <c r="A88" s="1040" t="s">
        <v>1057</v>
      </c>
      <c r="B88" s="1273" t="s">
        <v>1164</v>
      </c>
      <c r="C88" s="1273"/>
      <c r="D88" s="1273"/>
      <c r="E88" s="1273"/>
      <c r="F88" s="1273"/>
      <c r="G88" s="1273"/>
      <c r="H88" s="1273"/>
      <c r="I88" s="1273"/>
      <c r="J88" s="1148"/>
    </row>
    <row r="89" spans="1:11">
      <c r="B89" s="1273"/>
      <c r="C89" s="1273"/>
      <c r="D89" s="1273"/>
      <c r="E89" s="1273"/>
      <c r="F89" s="1273"/>
      <c r="G89" s="1273"/>
      <c r="H89" s="1273"/>
      <c r="I89" s="1273"/>
      <c r="J89" s="1148"/>
    </row>
    <row r="91" spans="1:11">
      <c r="A91" s="1040" t="s">
        <v>1062</v>
      </c>
      <c r="B91" s="1273" t="s">
        <v>1165</v>
      </c>
      <c r="C91" s="1273"/>
      <c r="D91" s="1273"/>
      <c r="E91" s="1273"/>
      <c r="F91" s="1273"/>
      <c r="G91" s="1273"/>
      <c r="H91" s="1273"/>
      <c r="I91" s="1273"/>
    </row>
    <row r="92" spans="1:11">
      <c r="B92" s="1273"/>
      <c r="C92" s="1273"/>
      <c r="D92" s="1273"/>
      <c r="E92" s="1273"/>
      <c r="F92" s="1273"/>
      <c r="G92" s="1273"/>
      <c r="H92" s="1273"/>
      <c r="I92" s="1273"/>
    </row>
    <row r="94" spans="1:11" ht="15">
      <c r="A94" s="1042"/>
      <c r="B94" s="1076"/>
      <c r="C94" s="1042"/>
      <c r="D94" s="1042"/>
      <c r="E94" s="1042"/>
      <c r="F94" s="1042"/>
      <c r="G94" s="1042"/>
      <c r="H94" s="1042"/>
      <c r="I94" s="1042"/>
      <c r="J94" s="1042"/>
      <c r="K94" s="1042"/>
    </row>
    <row r="95" spans="1:11" ht="15">
      <c r="A95" s="1042"/>
      <c r="B95" s="1043"/>
      <c r="C95" s="1042"/>
      <c r="D95" s="1042"/>
      <c r="E95" s="1042"/>
      <c r="F95" s="1042"/>
      <c r="G95" s="1042"/>
      <c r="H95" s="1042"/>
      <c r="I95" s="1042"/>
      <c r="J95" s="1042"/>
      <c r="K95" s="1042"/>
    </row>
    <row r="96" spans="1:11" ht="15">
      <c r="A96" s="1042"/>
      <c r="B96" s="1043"/>
      <c r="C96" s="1042"/>
      <c r="D96" s="1042"/>
      <c r="E96" s="1042"/>
      <c r="F96" s="1042"/>
      <c r="G96" s="1042"/>
      <c r="H96" s="1042"/>
      <c r="I96" s="1042"/>
      <c r="J96" s="1042"/>
      <c r="K96" s="1042"/>
    </row>
    <row r="97" spans="1:11" ht="15">
      <c r="A97" s="1042"/>
      <c r="B97" s="1043"/>
      <c r="C97" s="1042"/>
      <c r="D97" s="1042"/>
      <c r="E97" s="1042"/>
      <c r="F97" s="1042"/>
      <c r="G97" s="1042"/>
      <c r="H97" s="1042"/>
      <c r="I97" s="1042"/>
      <c r="J97" s="1042"/>
      <c r="K97" s="1042"/>
    </row>
    <row r="98" spans="1:11" ht="15">
      <c r="A98" s="1042"/>
      <c r="B98" s="1043"/>
      <c r="C98" s="1042"/>
      <c r="D98" s="1043"/>
      <c r="E98" s="1043"/>
      <c r="F98" s="1043"/>
      <c r="G98" s="1042"/>
      <c r="H98" s="1042"/>
      <c r="I98" s="1042"/>
      <c r="J98" s="1042"/>
      <c r="K98" s="1042"/>
    </row>
    <row r="99" spans="1:11">
      <c r="A99" s="1077"/>
      <c r="B99" s="1074"/>
      <c r="C99" s="1074"/>
      <c r="D99" s="1074"/>
      <c r="E99" s="1074"/>
      <c r="F99" s="1074"/>
      <c r="G99" s="1074"/>
      <c r="H99" s="1074"/>
      <c r="I99" s="1074"/>
      <c r="J99" s="1074"/>
      <c r="K99" s="1074"/>
    </row>
    <row r="100" spans="1:11">
      <c r="A100" s="1074"/>
      <c r="B100" s="1074"/>
      <c r="C100" s="1074"/>
      <c r="D100" s="1074"/>
      <c r="E100" s="1074"/>
      <c r="F100" s="1074"/>
      <c r="G100" s="1074"/>
      <c r="H100" s="1074"/>
      <c r="I100" s="1074"/>
      <c r="J100" s="1074"/>
      <c r="K100" s="1074"/>
    </row>
    <row r="101" spans="1:11">
      <c r="A101" s="1074"/>
      <c r="B101" s="1074"/>
      <c r="C101" s="1074"/>
      <c r="D101" s="1074"/>
      <c r="E101" s="1074"/>
      <c r="F101" s="1074"/>
      <c r="G101" s="1074"/>
      <c r="H101" s="1074"/>
      <c r="I101" s="1074"/>
      <c r="J101" s="1074"/>
      <c r="K101" s="1074"/>
    </row>
    <row r="102" spans="1:11">
      <c r="A102" s="1074"/>
      <c r="B102" s="1074"/>
      <c r="C102" s="1074"/>
      <c r="D102" s="1074"/>
      <c r="E102" s="1074"/>
      <c r="F102" s="1074"/>
      <c r="G102" s="1074"/>
      <c r="H102" s="1074"/>
      <c r="I102" s="1074"/>
      <c r="J102" s="1074"/>
      <c r="K102" s="1074"/>
    </row>
    <row r="103" spans="1:11">
      <c r="A103" s="1074"/>
      <c r="B103" s="1074"/>
      <c r="C103" s="1074"/>
      <c r="D103" s="1078"/>
      <c r="E103" s="1078"/>
      <c r="F103" s="1078"/>
      <c r="G103" s="1074"/>
      <c r="H103" s="1074"/>
      <c r="I103" s="1074"/>
      <c r="J103" s="1074"/>
      <c r="K103" s="1074"/>
    </row>
    <row r="104" spans="1:11">
      <c r="A104" s="1074"/>
      <c r="B104" s="1074"/>
      <c r="C104" s="1074"/>
      <c r="D104" s="1075"/>
      <c r="E104" s="1075"/>
      <c r="F104" s="1075"/>
      <c r="G104" s="1074"/>
      <c r="H104" s="1074"/>
      <c r="I104" s="1074"/>
      <c r="J104" s="1074"/>
      <c r="K104" s="1074"/>
    </row>
    <row r="105" spans="1:11">
      <c r="A105" s="1074"/>
      <c r="B105" s="1074"/>
      <c r="C105" s="1074"/>
      <c r="D105" s="1078"/>
      <c r="E105" s="1078"/>
      <c r="F105" s="1078"/>
      <c r="G105" s="1074"/>
      <c r="H105" s="1074"/>
      <c r="I105" s="1074"/>
      <c r="J105" s="1074"/>
      <c r="K105" s="1074"/>
    </row>
    <row r="106" spans="1:11">
      <c r="A106" s="1074"/>
      <c r="B106" s="1074"/>
      <c r="C106" s="1074"/>
      <c r="D106" s="1074"/>
      <c r="E106" s="1074"/>
      <c r="F106" s="1074"/>
      <c r="G106" s="1074"/>
      <c r="H106" s="1074"/>
      <c r="I106" s="1074"/>
      <c r="J106" s="1074"/>
      <c r="K106" s="1074"/>
    </row>
    <row r="107" spans="1:11">
      <c r="A107" s="1074"/>
      <c r="B107" s="1074"/>
      <c r="C107" s="1074"/>
      <c r="D107" s="1074"/>
      <c r="E107" s="1074"/>
      <c r="F107" s="1074"/>
      <c r="G107" s="1074"/>
      <c r="H107" s="1074"/>
      <c r="I107" s="1074"/>
      <c r="J107" s="1074"/>
      <c r="K107" s="1074"/>
    </row>
    <row r="108" spans="1:11">
      <c r="A108" s="1074"/>
      <c r="B108" s="1074"/>
      <c r="C108" s="1074"/>
      <c r="D108" s="1074"/>
      <c r="E108" s="1074"/>
      <c r="F108" s="1074"/>
      <c r="G108" s="1074"/>
      <c r="H108" s="1074"/>
      <c r="I108" s="1074"/>
      <c r="J108" s="1074"/>
      <c r="K108" s="1074"/>
    </row>
    <row r="109" spans="1:11" ht="15">
      <c r="A109" s="1074"/>
      <c r="B109" s="1042"/>
      <c r="C109" s="1074"/>
      <c r="D109" s="1074"/>
      <c r="E109" s="1074"/>
      <c r="F109" s="1074"/>
      <c r="G109" s="1074"/>
      <c r="H109" s="1074"/>
      <c r="I109" s="1074"/>
      <c r="J109" s="1074"/>
      <c r="K109" s="1074"/>
    </row>
    <row r="110" spans="1:11">
      <c r="A110" s="1074"/>
      <c r="B110" s="1074"/>
      <c r="C110" s="1074"/>
      <c r="D110" s="1074"/>
      <c r="E110" s="1074"/>
      <c r="F110" s="1074"/>
      <c r="G110" s="1074"/>
      <c r="H110" s="1074"/>
      <c r="I110" s="1074"/>
      <c r="J110" s="1074"/>
      <c r="K110" s="1074"/>
    </row>
    <row r="111" spans="1:11">
      <c r="A111" s="1074"/>
      <c r="B111" s="1074"/>
      <c r="C111" s="1074"/>
      <c r="D111" s="1074"/>
      <c r="E111" s="1074"/>
      <c r="F111" s="1074"/>
      <c r="G111" s="1074"/>
      <c r="H111" s="1074"/>
      <c r="I111" s="1074"/>
      <c r="J111" s="1074"/>
      <c r="K111" s="1074"/>
    </row>
  </sheetData>
  <mergeCells count="17">
    <mergeCell ref="A71:J72"/>
    <mergeCell ref="B75:J79"/>
    <mergeCell ref="B83:J84"/>
    <mergeCell ref="B88:I89"/>
    <mergeCell ref="B91:I92"/>
    <mergeCell ref="R17:R18"/>
    <mergeCell ref="B68:C68"/>
    <mergeCell ref="R19:R20"/>
    <mergeCell ref="B39:C39"/>
    <mergeCell ref="P42:Q42"/>
    <mergeCell ref="R46:R47"/>
    <mergeCell ref="R48:R49"/>
    <mergeCell ref="I9:J9"/>
    <mergeCell ref="K9:M9"/>
    <mergeCell ref="N9:O9"/>
    <mergeCell ref="P9:Q9"/>
    <mergeCell ref="P11:Q11"/>
  </mergeCells>
  <pageMargins left="0.7" right="0.7" top="0.75" bottom="0.75" header="0.3" footer="0.3"/>
  <pageSetup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9">
    <pageSetUpPr autoPageBreaks="0" fitToPage="1"/>
  </sheetPr>
  <dimension ref="A1:Q78"/>
  <sheetViews>
    <sheetView tabSelected="1" workbookViewId="0">
      <selection activeCell="F7" sqref="F7"/>
    </sheetView>
  </sheetViews>
  <sheetFormatPr defaultColWidth="11.85546875" defaultRowHeight="12.75"/>
  <cols>
    <col min="1" max="1" width="9" style="1102" customWidth="1"/>
    <col min="2" max="2" width="15" style="1103" bestFit="1" customWidth="1"/>
    <col min="3" max="3" width="4.140625" style="1103" customWidth="1"/>
    <col min="4" max="4" width="21" style="1103" bestFit="1" customWidth="1"/>
    <col min="5" max="5" width="29.7109375" style="1103" bestFit="1" customWidth="1"/>
    <col min="6" max="6" width="21.42578125" style="1103" customWidth="1"/>
    <col min="7" max="7" width="4.28515625" style="1103" customWidth="1"/>
    <col min="8" max="8" width="19" style="1103" customWidth="1"/>
    <col min="9" max="9" width="5" style="1103" customWidth="1"/>
    <col min="10" max="10" width="19.85546875" style="1103" customWidth="1"/>
    <col min="11" max="11" width="3.5703125" style="1103" customWidth="1"/>
    <col min="12" max="12" width="19.7109375" style="1103" customWidth="1"/>
    <col min="13" max="13" width="16" style="1103" customWidth="1"/>
    <col min="14" max="14" width="19.140625" style="1103" bestFit="1" customWidth="1"/>
    <col min="15" max="15" width="16.5703125" style="1106" bestFit="1" customWidth="1"/>
    <col min="16" max="16" width="15.28515625" style="1103" bestFit="1" customWidth="1"/>
    <col min="17" max="16384" width="11.85546875" style="1103"/>
  </cols>
  <sheetData>
    <row r="1" spans="1:17" ht="15">
      <c r="A1" s="1102" t="s">
        <v>1104</v>
      </c>
      <c r="L1" s="1104"/>
      <c r="N1" s="1105" t="s">
        <v>1105</v>
      </c>
    </row>
    <row r="2" spans="1:17">
      <c r="A2" s="1102" t="s">
        <v>1106</v>
      </c>
      <c r="L2" s="1107"/>
      <c r="N2" s="1108" t="s">
        <v>1107</v>
      </c>
    </row>
    <row r="3" spans="1:17">
      <c r="A3" s="1102" t="s">
        <v>1108</v>
      </c>
      <c r="N3" s="1108" t="s">
        <v>1109</v>
      </c>
    </row>
    <row r="4" spans="1:17">
      <c r="A4" s="1102" t="s">
        <v>1110</v>
      </c>
      <c r="N4" s="1105" t="s">
        <v>1111</v>
      </c>
    </row>
    <row r="5" spans="1:17">
      <c r="A5" s="1102" t="s">
        <v>1112</v>
      </c>
    </row>
    <row r="6" spans="1:17">
      <c r="A6" s="1102" t="s">
        <v>988</v>
      </c>
    </row>
    <row r="7" spans="1:17">
      <c r="A7" s="1276" t="s">
        <v>1113</v>
      </c>
      <c r="B7" s="1276"/>
      <c r="C7" s="1276"/>
      <c r="D7" s="1276"/>
      <c r="E7" s="1276"/>
      <c r="F7" s="1276"/>
      <c r="G7" s="1276"/>
      <c r="H7" s="1276"/>
      <c r="I7" s="1276"/>
      <c r="J7" s="1276"/>
      <c r="K7" s="1276"/>
      <c r="L7" s="1276"/>
      <c r="M7" s="1276"/>
      <c r="N7" s="1276"/>
    </row>
    <row r="9" spans="1:17">
      <c r="A9" s="1109" t="s">
        <v>148</v>
      </c>
      <c r="B9" s="1110" t="s">
        <v>149</v>
      </c>
      <c r="C9" s="1110"/>
      <c r="D9" s="1110" t="s">
        <v>150</v>
      </c>
      <c r="E9" s="1110" t="s">
        <v>151</v>
      </c>
      <c r="F9" s="1110" t="s">
        <v>152</v>
      </c>
      <c r="G9" s="1110"/>
      <c r="H9" s="1110" t="s">
        <v>1114</v>
      </c>
      <c r="I9" s="1110"/>
      <c r="J9" s="1110" t="s">
        <v>154</v>
      </c>
      <c r="K9" s="1110"/>
      <c r="L9" s="1110" t="s">
        <v>1115</v>
      </c>
      <c r="M9" s="1110" t="s">
        <v>156</v>
      </c>
      <c r="N9" s="1110" t="s">
        <v>1116</v>
      </c>
      <c r="Q9" s="1277"/>
    </row>
    <row r="10" spans="1:17">
      <c r="F10" s="1111"/>
      <c r="G10" s="1111"/>
      <c r="H10" s="1111"/>
      <c r="Q10" s="1277"/>
    </row>
    <row r="11" spans="1:17" ht="38.25">
      <c r="A11" s="1102" t="s">
        <v>1117</v>
      </c>
      <c r="B11" s="1103" t="s">
        <v>1118</v>
      </c>
      <c r="D11" s="1112" t="s">
        <v>1119</v>
      </c>
      <c r="E11" s="1110" t="s">
        <v>1001</v>
      </c>
      <c r="F11" s="1112" t="s">
        <v>1120</v>
      </c>
      <c r="G11" s="1112"/>
      <c r="H11" s="1112" t="s">
        <v>1121</v>
      </c>
      <c r="I11" s="1113"/>
      <c r="J11" s="1112" t="s">
        <v>1122</v>
      </c>
      <c r="L11" s="1112" t="s">
        <v>1123</v>
      </c>
      <c r="M11" s="1112" t="s">
        <v>1124</v>
      </c>
      <c r="N11" s="1112" t="s">
        <v>1125</v>
      </c>
    </row>
    <row r="12" spans="1:17" ht="15">
      <c r="D12" s="1112"/>
      <c r="E12" s="1110"/>
      <c r="F12" s="1112"/>
      <c r="G12" s="1112"/>
      <c r="H12" s="1112"/>
      <c r="I12" s="1113"/>
      <c r="J12" s="1112"/>
      <c r="L12" s="1112"/>
      <c r="N12" s="1111"/>
    </row>
    <row r="13" spans="1:17" ht="15">
      <c r="A13" s="1114" t="s">
        <v>1126</v>
      </c>
      <c r="D13" s="1112"/>
      <c r="E13" s="1110"/>
      <c r="F13" s="1112"/>
      <c r="G13" s="1112"/>
      <c r="H13" s="1112"/>
      <c r="I13" s="1113"/>
      <c r="J13" s="1112"/>
      <c r="L13" s="1112"/>
      <c r="N13" s="1111"/>
    </row>
    <row r="14" spans="1:17">
      <c r="D14" s="1106"/>
      <c r="E14" s="1106"/>
      <c r="F14" s="1115"/>
      <c r="G14" s="1115"/>
      <c r="H14" s="1115"/>
      <c r="I14" s="1115"/>
      <c r="J14" s="1115"/>
      <c r="K14" s="1115"/>
      <c r="L14" s="1115"/>
      <c r="M14" s="1106"/>
      <c r="N14" s="1106"/>
    </row>
    <row r="15" spans="1:17" ht="12.6" customHeight="1">
      <c r="A15" s="1116">
        <v>1</v>
      </c>
      <c r="B15" s="1117" t="s">
        <v>1127</v>
      </c>
      <c r="D15" s="1118">
        <v>299354118</v>
      </c>
      <c r="E15" s="1106" t="s">
        <v>1128</v>
      </c>
      <c r="N15" s="1106"/>
    </row>
    <row r="16" spans="1:17" ht="15">
      <c r="A16" s="1116">
        <f>+A15+1</f>
        <v>2</v>
      </c>
      <c r="B16" s="1117"/>
      <c r="D16" s="1119">
        <v>91360.11</v>
      </c>
      <c r="E16" s="1106" t="s">
        <v>1129</v>
      </c>
      <c r="F16" s="1113"/>
      <c r="G16" s="1113"/>
      <c r="H16" s="1120"/>
      <c r="I16" s="1113"/>
      <c r="J16" s="1113"/>
      <c r="K16" s="1113"/>
      <c r="L16" s="1113"/>
      <c r="M16" s="1106"/>
      <c r="N16" s="1106"/>
    </row>
    <row r="17" spans="1:16">
      <c r="A17" s="1116">
        <f>++A16+1</f>
        <v>3</v>
      </c>
      <c r="B17" s="1117" t="s">
        <v>1130</v>
      </c>
      <c r="D17" s="1118">
        <f>+D15-D16</f>
        <v>299262757.88999999</v>
      </c>
      <c r="F17" s="1115">
        <v>114925970.95</v>
      </c>
      <c r="G17" s="1115"/>
      <c r="H17" s="1121">
        <f>+F17/D17</f>
        <v>0.38403031423055767</v>
      </c>
      <c r="I17" s="1122"/>
      <c r="J17" s="1115">
        <f>-F17</f>
        <v>-114925970.95</v>
      </c>
      <c r="K17" s="1115"/>
      <c r="L17" s="1115">
        <f>+F17+J17</f>
        <v>0</v>
      </c>
      <c r="M17" s="1106"/>
      <c r="N17" s="1106">
        <f>+D17-L17</f>
        <v>299262757.88999999</v>
      </c>
    </row>
    <row r="18" spans="1:16">
      <c r="A18" s="1116"/>
      <c r="B18" s="1117"/>
      <c r="D18" s="1106"/>
      <c r="E18" s="1106"/>
      <c r="F18" s="1123"/>
      <c r="G18" s="1123"/>
      <c r="H18" s="1121"/>
      <c r="I18" s="1122"/>
      <c r="J18" s="1115"/>
      <c r="K18" s="1115"/>
      <c r="L18" s="1115"/>
      <c r="M18" s="1106"/>
      <c r="N18" s="1106"/>
    </row>
    <row r="19" spans="1:16">
      <c r="A19" s="1116">
        <f>+A17+1</f>
        <v>4</v>
      </c>
      <c r="B19" s="1117" t="s">
        <v>1131</v>
      </c>
      <c r="D19" s="1106">
        <v>-289979890</v>
      </c>
      <c r="E19" s="1106" t="s">
        <v>1132</v>
      </c>
      <c r="F19" s="1115">
        <v>-115991956.2</v>
      </c>
      <c r="G19" s="1115"/>
      <c r="H19" s="1121">
        <f>+F19/D19</f>
        <v>0.40000000068970298</v>
      </c>
      <c r="I19" s="1278"/>
      <c r="J19" s="1115"/>
      <c r="K19" s="1115"/>
      <c r="L19" s="1115">
        <f>+F19+J19</f>
        <v>-115991956.2</v>
      </c>
      <c r="M19" s="1106" t="s">
        <v>1011</v>
      </c>
      <c r="N19" s="1106">
        <f>+D19-L19</f>
        <v>-173987933.80000001</v>
      </c>
    </row>
    <row r="20" spans="1:16">
      <c r="A20" s="1116"/>
      <c r="B20" s="1117"/>
      <c r="D20" s="1106"/>
      <c r="E20" s="1106"/>
      <c r="F20" s="1115"/>
      <c r="G20" s="1115"/>
      <c r="H20" s="1124"/>
      <c r="I20" s="1278"/>
      <c r="J20" s="1115"/>
      <c r="K20" s="1115"/>
      <c r="L20" s="1115"/>
      <c r="M20" s="1106"/>
      <c r="N20" s="1106"/>
    </row>
    <row r="21" spans="1:16">
      <c r="A21" s="1116">
        <f>+A19+1</f>
        <v>5</v>
      </c>
      <c r="B21" s="1117" t="s">
        <v>1133</v>
      </c>
      <c r="D21" s="1106">
        <v>-1982378027</v>
      </c>
      <c r="E21" s="1106" t="s">
        <v>1134</v>
      </c>
      <c r="F21" s="1115">
        <v>-785862991.44999969</v>
      </c>
      <c r="G21" s="1115"/>
      <c r="H21" s="1121">
        <f>+F21/D21</f>
        <v>0.39642438563510152</v>
      </c>
      <c r="I21" s="1123"/>
      <c r="J21" s="1115">
        <v>-13641125.550000001</v>
      </c>
      <c r="K21" s="1115"/>
      <c r="L21" s="1115">
        <f>+F21+J21-L22</f>
        <v>-568878716.31999969</v>
      </c>
      <c r="M21" s="1106" t="s">
        <v>1135</v>
      </c>
      <c r="N21" s="1106">
        <f>+D21-L21-L22</f>
        <v>-1182873910.0000002</v>
      </c>
    </row>
    <row r="22" spans="1:16">
      <c r="A22" s="1116"/>
      <c r="B22" s="1117"/>
      <c r="D22" s="1106"/>
      <c r="E22" s="1106"/>
      <c r="F22" s="1115"/>
      <c r="G22" s="1115"/>
      <c r="H22" s="1124"/>
      <c r="I22" s="1115"/>
      <c r="J22" s="1115"/>
      <c r="K22" s="1115"/>
      <c r="L22" s="1115">
        <v>-230625400.68000001</v>
      </c>
      <c r="M22" s="1106" t="s">
        <v>1136</v>
      </c>
      <c r="N22" s="1106"/>
    </row>
    <row r="23" spans="1:16">
      <c r="A23" s="1116">
        <f>+A21+1</f>
        <v>6</v>
      </c>
      <c r="B23" s="1117" t="s">
        <v>1137</v>
      </c>
      <c r="D23" s="1106">
        <v>-426174211</v>
      </c>
      <c r="E23" s="1106" t="s">
        <v>1138</v>
      </c>
      <c r="H23" s="1125"/>
      <c r="N23" s="1106"/>
    </row>
    <row r="24" spans="1:16" ht="15">
      <c r="A24" s="1116">
        <f>+A23+1</f>
        <v>7</v>
      </c>
      <c r="B24" s="1117"/>
      <c r="D24" s="1126">
        <f>-118065681-12508624+65067609-4597370</f>
        <v>-70104066</v>
      </c>
      <c r="E24" s="1106" t="s">
        <v>1139</v>
      </c>
      <c r="F24" s="1113"/>
      <c r="G24" s="1113"/>
      <c r="H24" s="1127"/>
      <c r="I24" s="1128"/>
      <c r="J24" s="1115"/>
      <c r="K24" s="1115"/>
      <c r="L24" s="1115"/>
      <c r="M24" s="1106"/>
      <c r="N24" s="1106"/>
    </row>
    <row r="25" spans="1:16">
      <c r="A25" s="1116">
        <f>++A24+1</f>
        <v>8</v>
      </c>
      <c r="B25" s="1117" t="s">
        <v>1140</v>
      </c>
      <c r="D25" s="1106">
        <f>+D23-D24</f>
        <v>-356070145</v>
      </c>
      <c r="F25" s="1115">
        <v>-141371168.37999997</v>
      </c>
      <c r="G25" s="1115"/>
      <c r="H25" s="1121">
        <f>+F25/D25</f>
        <v>0.39703179377759956</v>
      </c>
      <c r="I25" s="1128"/>
      <c r="J25" s="1115">
        <f>-J17-J21</f>
        <v>128567096.5</v>
      </c>
      <c r="K25" s="1115"/>
      <c r="L25" s="1115">
        <f>+F25+J25</f>
        <v>-12804071.879999965</v>
      </c>
      <c r="M25" s="1106" t="s">
        <v>1021</v>
      </c>
      <c r="N25" s="1106">
        <f>+D25-L25</f>
        <v>-343266073.12</v>
      </c>
    </row>
    <row r="26" spans="1:16">
      <c r="A26" s="1116"/>
      <c r="E26" s="1106"/>
      <c r="F26" s="1115"/>
      <c r="G26" s="1115"/>
      <c r="H26" s="1124"/>
      <c r="I26" s="1129"/>
      <c r="J26" s="1115"/>
      <c r="K26" s="1115"/>
      <c r="L26" s="1115"/>
      <c r="M26" s="1106"/>
      <c r="N26" s="1106"/>
    </row>
    <row r="27" spans="1:16">
      <c r="A27" s="1116">
        <f>+A25+1</f>
        <v>9</v>
      </c>
      <c r="B27" s="1103" t="s">
        <v>118</v>
      </c>
      <c r="D27" s="1130">
        <f>+D17+D19+D21+D25</f>
        <v>-2329165304.1100001</v>
      </c>
      <c r="E27" s="1106" t="s">
        <v>1141</v>
      </c>
      <c r="F27" s="1131">
        <f>SUM(F16:F25)</f>
        <v>-928300145.07999969</v>
      </c>
      <c r="G27" s="1132"/>
      <c r="H27" s="1133"/>
      <c r="J27" s="1131">
        <f>SUM(J16:J25)</f>
        <v>0</v>
      </c>
      <c r="K27" s="1115"/>
      <c r="L27" s="1131">
        <f>SUM(L16:L25)</f>
        <v>-928300145.0799998</v>
      </c>
      <c r="M27" s="1106"/>
      <c r="N27" s="1131">
        <f>SUM(N16:N25)</f>
        <v>-1400865159.0300002</v>
      </c>
    </row>
    <row r="28" spans="1:16">
      <c r="A28" s="1116"/>
      <c r="D28" s="1106"/>
      <c r="E28" s="1134"/>
      <c r="F28" s="1123"/>
      <c r="G28" s="1123"/>
      <c r="H28" s="1121"/>
      <c r="I28" s="1115"/>
      <c r="J28" s="1115"/>
      <c r="K28" s="1115"/>
      <c r="L28" s="1115"/>
      <c r="M28" s="1106"/>
      <c r="N28" s="1106"/>
    </row>
    <row r="29" spans="1:16">
      <c r="A29" s="1135" t="s">
        <v>1142</v>
      </c>
      <c r="D29" s="1106"/>
      <c r="E29" s="1106"/>
      <c r="F29" s="1123"/>
      <c r="G29" s="1123"/>
      <c r="H29" s="1121"/>
      <c r="I29" s="1123"/>
      <c r="J29" s="1115"/>
      <c r="K29" s="1115"/>
      <c r="L29" s="1115"/>
      <c r="M29" s="1106"/>
      <c r="N29" s="1106"/>
      <c r="P29" s="1106"/>
    </row>
    <row r="30" spans="1:16" ht="15">
      <c r="A30" s="1116"/>
      <c r="F30" s="1129"/>
      <c r="G30" s="1129"/>
      <c r="H30" s="1121"/>
      <c r="J30" s="1113"/>
      <c r="K30" s="1115"/>
      <c r="L30" s="1115"/>
      <c r="N30" s="1106"/>
      <c r="P30" s="1106"/>
    </row>
    <row r="31" spans="1:16">
      <c r="A31" s="1116">
        <f>+A27+1</f>
        <v>10</v>
      </c>
      <c r="B31" s="1117" t="s">
        <v>1130</v>
      </c>
      <c r="D31" s="1106">
        <v>64030741.600000001</v>
      </c>
      <c r="E31" s="1117" t="s">
        <v>635</v>
      </c>
      <c r="F31" s="1115">
        <v>25564247.969999999</v>
      </c>
      <c r="G31" s="1115"/>
      <c r="H31" s="1121">
        <f>+F31/D31</f>
        <v>0.39924959997652126</v>
      </c>
      <c r="I31" s="1129"/>
      <c r="J31" s="1115">
        <f>-F31</f>
        <v>-25564247.969999999</v>
      </c>
      <c r="K31" s="1115"/>
      <c r="L31" s="1115">
        <f>+F31+J31</f>
        <v>0</v>
      </c>
      <c r="N31" s="1106">
        <f>+D31-L31</f>
        <v>64030741.600000001</v>
      </c>
      <c r="P31" s="1106"/>
    </row>
    <row r="32" spans="1:16">
      <c r="A32" s="1116"/>
      <c r="B32" s="1117"/>
      <c r="D32" s="1106"/>
      <c r="E32" s="1106"/>
      <c r="F32" s="1123"/>
      <c r="G32" s="1123"/>
      <c r="H32" s="1121"/>
      <c r="I32" s="1123"/>
      <c r="J32" s="1115"/>
      <c r="K32" s="1115"/>
      <c r="L32" s="1115"/>
      <c r="N32" s="1106"/>
      <c r="O32" s="1103"/>
      <c r="P32" s="1106"/>
    </row>
    <row r="33" spans="1:16">
      <c r="A33" s="1116">
        <f>+A31+1</f>
        <v>11</v>
      </c>
      <c r="B33" s="1117" t="s">
        <v>1133</v>
      </c>
      <c r="D33" s="1106">
        <v>-532673985.5</v>
      </c>
      <c r="E33" s="1117" t="s">
        <v>635</v>
      </c>
      <c r="F33" s="1115">
        <v>-211738348.20000005</v>
      </c>
      <c r="G33" s="1115"/>
      <c r="H33" s="1121">
        <f>+F33/D33</f>
        <v>0.39750082407581749</v>
      </c>
      <c r="I33" s="1123"/>
      <c r="J33" s="1115">
        <v>-3524424.8</v>
      </c>
      <c r="K33" s="1115"/>
      <c r="L33" s="1115">
        <f>+F33+J33-L34</f>
        <v>-185402169.00000006</v>
      </c>
      <c r="M33" s="1103" t="s">
        <v>1011</v>
      </c>
      <c r="N33" s="1106">
        <f>+D33-L33-L34</f>
        <v>-317411212.49999994</v>
      </c>
      <c r="O33" s="1103"/>
      <c r="P33" s="1136"/>
    </row>
    <row r="34" spans="1:16">
      <c r="A34" s="1116"/>
      <c r="B34" s="1117"/>
      <c r="D34" s="1106"/>
      <c r="E34" s="1117"/>
      <c r="F34" s="1115"/>
      <c r="G34" s="1115"/>
      <c r="H34" s="1121"/>
      <c r="I34" s="1123"/>
      <c r="J34" s="1115"/>
      <c r="K34" s="1115"/>
      <c r="L34" s="1115">
        <v>-29860604</v>
      </c>
      <c r="M34" s="1103" t="s">
        <v>1021</v>
      </c>
      <c r="N34" s="1106"/>
      <c r="O34" s="1103"/>
      <c r="P34" s="1136"/>
    </row>
    <row r="35" spans="1:16">
      <c r="A35" s="1116"/>
      <c r="B35" s="1117"/>
      <c r="D35" s="1106"/>
      <c r="E35" s="1106"/>
      <c r="H35" s="1125"/>
      <c r="I35" s="1137"/>
      <c r="J35" s="1115"/>
      <c r="K35" s="1115"/>
      <c r="L35" s="1115"/>
      <c r="N35" s="1106"/>
      <c r="O35" s="1103"/>
      <c r="P35" s="1106"/>
    </row>
    <row r="36" spans="1:16">
      <c r="A36" s="1116">
        <f>+A33+1</f>
        <v>12</v>
      </c>
      <c r="B36" s="1117" t="s">
        <v>1140</v>
      </c>
      <c r="D36" s="1138">
        <v>-27241044.940000001</v>
      </c>
      <c r="E36" s="1117" t="s">
        <v>635</v>
      </c>
      <c r="F36" s="1115">
        <v>-11031930.069999998</v>
      </c>
      <c r="G36" s="1115"/>
      <c r="H36" s="1121">
        <f>+F36/D36</f>
        <v>0.40497455564933249</v>
      </c>
      <c r="I36" s="1123"/>
      <c r="J36" s="1115">
        <f>-J31-J33</f>
        <v>29088672.77</v>
      </c>
      <c r="K36" s="1115"/>
      <c r="L36" s="1115">
        <f>+F36+J36</f>
        <v>18056742.700000003</v>
      </c>
      <c r="M36" s="1103" t="s">
        <v>1021</v>
      </c>
      <c r="N36" s="1106">
        <f>+D36-L36</f>
        <v>-45297787.640000001</v>
      </c>
      <c r="O36" s="1103"/>
      <c r="P36" s="1106"/>
    </row>
    <row r="37" spans="1:16">
      <c r="A37" s="1116"/>
      <c r="D37" s="1138"/>
      <c r="E37" s="1106"/>
      <c r="F37" s="1123"/>
      <c r="G37" s="1123"/>
      <c r="H37" s="1121"/>
      <c r="I37" s="1123"/>
      <c r="J37" s="1115"/>
      <c r="K37" s="1115"/>
      <c r="L37" s="1115"/>
      <c r="N37" s="1106"/>
      <c r="O37" s="1103"/>
      <c r="P37" s="1106"/>
    </row>
    <row r="38" spans="1:16">
      <c r="A38" s="1116">
        <f>+A36+1</f>
        <v>13</v>
      </c>
      <c r="B38" s="1103" t="s">
        <v>118</v>
      </c>
      <c r="D38" s="1139">
        <f>+D36+D33+D31</f>
        <v>-495884288.84000003</v>
      </c>
      <c r="E38" s="1106" t="s">
        <v>1143</v>
      </c>
      <c r="F38" s="1131">
        <f>SUM(F31:F36)</f>
        <v>-197206030.30000004</v>
      </c>
      <c r="G38" s="1132"/>
      <c r="H38" s="1140"/>
      <c r="J38" s="1131">
        <f>SUM(J31:J36)</f>
        <v>0</v>
      </c>
      <c r="K38" s="1115"/>
      <c r="L38" s="1131">
        <f>SUM(L31:L36)</f>
        <v>-197206030.30000007</v>
      </c>
      <c r="N38" s="1131">
        <f>SUM(N31:N36)</f>
        <v>-298678258.53999996</v>
      </c>
      <c r="O38" s="1103"/>
      <c r="P38" s="1106"/>
    </row>
    <row r="39" spans="1:16">
      <c r="A39" s="1116"/>
      <c r="D39" s="1138"/>
      <c r="E39" s="1106"/>
      <c r="F39" s="1132"/>
      <c r="G39" s="1132"/>
      <c r="H39" s="1140"/>
      <c r="J39" s="1132"/>
      <c r="K39" s="1115"/>
      <c r="L39" s="1132"/>
      <c r="N39" s="1106"/>
      <c r="O39" s="1103"/>
      <c r="P39" s="1106"/>
    </row>
    <row r="40" spans="1:16">
      <c r="A40" s="1116"/>
      <c r="D40" s="1138"/>
      <c r="E40" s="1106"/>
      <c r="F40" s="1132"/>
      <c r="G40" s="1132"/>
      <c r="H40" s="1140"/>
      <c r="J40" s="1132"/>
      <c r="K40" s="1115"/>
      <c r="L40" s="1132"/>
      <c r="N40" s="1106"/>
      <c r="O40" s="1103"/>
      <c r="P40" s="1106"/>
    </row>
    <row r="41" spans="1:16">
      <c r="A41" s="1274" t="s">
        <v>1144</v>
      </c>
      <c r="B41" s="1274"/>
      <c r="C41" s="1274"/>
      <c r="D41" s="1274"/>
      <c r="E41" s="1274"/>
      <c r="F41" s="1274"/>
      <c r="G41" s="1274"/>
      <c r="H41" s="1274"/>
      <c r="N41" s="1106"/>
      <c r="O41" s="1103"/>
      <c r="P41" s="1106"/>
    </row>
    <row r="42" spans="1:16">
      <c r="A42" s="1274"/>
      <c r="B42" s="1274"/>
      <c r="C42" s="1274"/>
      <c r="D42" s="1274"/>
      <c r="E42" s="1274"/>
      <c r="F42" s="1274"/>
      <c r="G42" s="1274"/>
      <c r="H42" s="1274"/>
      <c r="N42" s="1106"/>
      <c r="O42" s="1103"/>
      <c r="P42" s="1106"/>
    </row>
    <row r="43" spans="1:16">
      <c r="A43" s="1274"/>
      <c r="B43" s="1274"/>
      <c r="C43" s="1274"/>
      <c r="D43" s="1274"/>
      <c r="E43" s="1274"/>
      <c r="F43" s="1274"/>
      <c r="G43" s="1274"/>
      <c r="H43" s="1274"/>
      <c r="N43" s="1106"/>
      <c r="O43" s="1103"/>
      <c r="P43" s="1106"/>
    </row>
    <row r="44" spans="1:16">
      <c r="A44" s="1274"/>
      <c r="B44" s="1274"/>
      <c r="C44" s="1274"/>
      <c r="D44" s="1274"/>
      <c r="E44" s="1274"/>
      <c r="F44" s="1274"/>
      <c r="G44" s="1274"/>
      <c r="H44" s="1274"/>
      <c r="N44" s="1106"/>
      <c r="O44" s="1103"/>
      <c r="P44" s="1106"/>
    </row>
    <row r="45" spans="1:16">
      <c r="A45" s="1116"/>
      <c r="N45" s="1106"/>
      <c r="O45" s="1103"/>
      <c r="P45" s="1106"/>
    </row>
    <row r="46" spans="1:16">
      <c r="A46" s="1102" t="s">
        <v>1145</v>
      </c>
      <c r="B46" s="1274" t="s">
        <v>1146</v>
      </c>
      <c r="C46" s="1274"/>
      <c r="D46" s="1274"/>
      <c r="E46" s="1274"/>
      <c r="F46" s="1274"/>
      <c r="G46" s="1274"/>
      <c r="H46" s="1274"/>
      <c r="N46" s="1106"/>
      <c r="O46" s="1103"/>
      <c r="P46" s="1106"/>
    </row>
    <row r="47" spans="1:16">
      <c r="B47" s="1274"/>
      <c r="C47" s="1274"/>
      <c r="D47" s="1274"/>
      <c r="E47" s="1274"/>
      <c r="F47" s="1274"/>
      <c r="G47" s="1274"/>
      <c r="H47" s="1274"/>
      <c r="N47" s="1106"/>
      <c r="O47" s="1103"/>
      <c r="P47" s="1106"/>
    </row>
    <row r="48" spans="1:16">
      <c r="B48" s="1274"/>
      <c r="C48" s="1274"/>
      <c r="D48" s="1274"/>
      <c r="E48" s="1274"/>
      <c r="F48" s="1274"/>
      <c r="G48" s="1274"/>
      <c r="H48" s="1274"/>
      <c r="N48" s="1106"/>
      <c r="O48" s="1103"/>
      <c r="P48" s="1106"/>
    </row>
    <row r="49" spans="1:14" ht="15">
      <c r="A49" s="1103"/>
      <c r="I49" s="1113"/>
      <c r="J49" s="1106"/>
      <c r="K49" s="1106"/>
      <c r="L49" s="1106"/>
      <c r="M49" s="1106"/>
      <c r="N49" s="1106"/>
    </row>
    <row r="50" spans="1:14" ht="15.6" customHeight="1">
      <c r="A50" s="1102" t="s">
        <v>1147</v>
      </c>
      <c r="B50" s="1274" t="s">
        <v>1148</v>
      </c>
      <c r="C50" s="1274"/>
      <c r="D50" s="1274"/>
      <c r="E50" s="1274"/>
      <c r="F50" s="1274"/>
      <c r="G50" s="1274"/>
      <c r="H50" s="1274"/>
      <c r="J50" s="1106"/>
      <c r="K50" s="1106"/>
      <c r="L50" s="1106"/>
      <c r="M50" s="1106"/>
      <c r="N50" s="1106"/>
    </row>
    <row r="51" spans="1:14" ht="12.6" customHeight="1">
      <c r="B51" s="1274"/>
      <c r="C51" s="1274"/>
      <c r="D51" s="1274"/>
      <c r="E51" s="1274"/>
      <c r="F51" s="1274"/>
      <c r="G51" s="1274"/>
      <c r="H51" s="1274"/>
      <c r="J51" s="1106"/>
      <c r="K51" s="1106"/>
      <c r="L51" s="1106"/>
      <c r="M51" s="1106"/>
      <c r="N51" s="1106"/>
    </row>
    <row r="52" spans="1:14" ht="12.6" customHeight="1">
      <c r="A52" s="1103"/>
      <c r="J52" s="1106"/>
      <c r="K52" s="1106"/>
      <c r="L52" s="1106"/>
      <c r="M52" s="1106"/>
      <c r="N52" s="1106"/>
    </row>
    <row r="53" spans="1:14" ht="12.6" customHeight="1">
      <c r="A53" s="1102" t="s">
        <v>1149</v>
      </c>
      <c r="B53" s="1274" t="s">
        <v>1150</v>
      </c>
      <c r="C53" s="1274"/>
      <c r="D53" s="1274"/>
      <c r="E53" s="1274"/>
      <c r="F53" s="1274"/>
      <c r="G53" s="1274"/>
      <c r="H53" s="1274"/>
      <c r="I53" s="1274"/>
      <c r="J53" s="1106"/>
      <c r="K53" s="1106"/>
      <c r="L53" s="1106"/>
      <c r="M53" s="1106"/>
      <c r="N53" s="1106"/>
    </row>
    <row r="54" spans="1:14" ht="15">
      <c r="A54" s="1141"/>
      <c r="B54" s="1274"/>
      <c r="C54" s="1274"/>
      <c r="D54" s="1274"/>
      <c r="E54" s="1274"/>
      <c r="F54" s="1274"/>
      <c r="G54" s="1274"/>
      <c r="H54" s="1274"/>
      <c r="I54" s="1274"/>
      <c r="J54" s="1106"/>
      <c r="K54" s="1106"/>
      <c r="L54" s="1106"/>
      <c r="M54" s="1106"/>
      <c r="N54" s="1106"/>
    </row>
    <row r="55" spans="1:14" ht="12.6" customHeight="1">
      <c r="A55" s="1103"/>
      <c r="J55" s="1106"/>
      <c r="K55" s="1106"/>
      <c r="L55" s="1106"/>
      <c r="M55" s="1106"/>
      <c r="N55" s="1106"/>
    </row>
    <row r="56" spans="1:14">
      <c r="A56" s="1103" t="s">
        <v>1151</v>
      </c>
      <c r="B56" s="1275" t="s">
        <v>1152</v>
      </c>
      <c r="C56" s="1275"/>
      <c r="D56" s="1275"/>
      <c r="E56" s="1275"/>
      <c r="F56" s="1275"/>
      <c r="J56" s="1106"/>
      <c r="K56" s="1106"/>
      <c r="L56" s="1106"/>
      <c r="M56" s="1106"/>
      <c r="N56" s="1106"/>
    </row>
    <row r="57" spans="1:14">
      <c r="B57" s="1275"/>
      <c r="C57" s="1275"/>
      <c r="D57" s="1275"/>
      <c r="E57" s="1275"/>
      <c r="F57" s="1275"/>
      <c r="J57" s="1106"/>
      <c r="K57" s="1106"/>
      <c r="L57" s="1106"/>
      <c r="M57" s="1106"/>
      <c r="N57" s="1106"/>
    </row>
    <row r="58" spans="1:14">
      <c r="A58" s="1103"/>
      <c r="J58" s="1106"/>
      <c r="K58" s="1106"/>
      <c r="L58" s="1106"/>
      <c r="M58" s="1106"/>
      <c r="N58" s="1106"/>
    </row>
    <row r="59" spans="1:14">
      <c r="A59" s="1103"/>
      <c r="J59" s="1106"/>
      <c r="K59" s="1106"/>
      <c r="L59" s="1106"/>
      <c r="M59" s="1106"/>
      <c r="N59" s="1106"/>
    </row>
    <row r="60" spans="1:14">
      <c r="E60" s="1142"/>
      <c r="I60" s="1106"/>
      <c r="J60" s="1106"/>
      <c r="K60" s="1106"/>
      <c r="L60" s="1106"/>
    </row>
    <row r="61" spans="1:14">
      <c r="G61" s="1143"/>
      <c r="H61" s="1143"/>
      <c r="I61" s="1106"/>
      <c r="J61" s="1106"/>
      <c r="K61" s="1106"/>
      <c r="L61" s="1106"/>
    </row>
    <row r="62" spans="1:14">
      <c r="G62" s="1143"/>
      <c r="H62" s="1143"/>
      <c r="I62" s="1106"/>
    </row>
    <row r="63" spans="1:14" ht="9.9499999999999993" customHeight="1"/>
    <row r="66" spans="1:16" ht="15">
      <c r="A66" s="1141"/>
      <c r="B66" s="1113"/>
      <c r="C66" s="1113"/>
      <c r="D66" s="1113"/>
      <c r="E66" s="1113"/>
      <c r="F66" s="1113"/>
      <c r="G66" s="1113"/>
      <c r="H66" s="1113"/>
      <c r="I66" s="1113"/>
      <c r="J66" s="1113"/>
      <c r="K66" s="1113"/>
      <c r="L66" s="1113"/>
      <c r="M66" s="1113"/>
      <c r="N66" s="1113"/>
      <c r="O66" s="1113"/>
    </row>
    <row r="67" spans="1:16" ht="15">
      <c r="A67" s="1141"/>
      <c r="B67" s="1113"/>
      <c r="C67" s="1113"/>
      <c r="D67" s="1113"/>
      <c r="E67" s="1113"/>
      <c r="F67" s="1113"/>
      <c r="G67" s="1113"/>
      <c r="H67" s="1113"/>
      <c r="I67" s="1113"/>
      <c r="J67" s="1113"/>
      <c r="K67" s="1113"/>
      <c r="L67" s="1113"/>
      <c r="M67" s="1113"/>
      <c r="N67" s="1113"/>
      <c r="O67" s="1113"/>
    </row>
    <row r="68" spans="1:16" ht="15">
      <c r="A68" s="1141"/>
      <c r="B68" s="1113"/>
      <c r="C68" s="1113"/>
      <c r="D68" s="1113"/>
      <c r="E68" s="1113"/>
      <c r="F68" s="1113"/>
      <c r="G68" s="1113"/>
      <c r="H68" s="1113"/>
      <c r="I68" s="1113"/>
      <c r="J68" s="1113"/>
      <c r="K68" s="1113"/>
      <c r="L68" s="1113"/>
      <c r="M68" s="1113"/>
      <c r="N68" s="1113"/>
      <c r="O68" s="1113"/>
    </row>
    <row r="69" spans="1:16" ht="15">
      <c r="A69" s="1141"/>
      <c r="B69" s="1113"/>
      <c r="C69" s="1113"/>
      <c r="D69" s="1113"/>
      <c r="E69" s="1113"/>
      <c r="F69" s="1113"/>
      <c r="G69" s="1113"/>
      <c r="H69" s="1113"/>
      <c r="I69" s="1113"/>
      <c r="J69" s="1113"/>
      <c r="K69" s="1113"/>
      <c r="L69" s="1113"/>
      <c r="M69" s="1113"/>
      <c r="N69" s="1113"/>
      <c r="O69" s="1113"/>
      <c r="P69" s="1106"/>
    </row>
    <row r="70" spans="1:16" ht="15">
      <c r="A70" s="1141"/>
      <c r="B70" s="1113"/>
      <c r="C70" s="1113"/>
      <c r="D70" s="1113"/>
      <c r="E70" s="1113"/>
      <c r="F70" s="1113"/>
      <c r="G70" s="1113"/>
      <c r="H70" s="1113"/>
      <c r="I70" s="1113"/>
      <c r="J70" s="1113"/>
      <c r="K70" s="1113"/>
      <c r="L70" s="1113"/>
      <c r="M70" s="1113"/>
      <c r="N70" s="1113"/>
      <c r="O70" s="1113"/>
      <c r="P70" s="1106"/>
    </row>
    <row r="71" spans="1:16" ht="15">
      <c r="A71" s="1141"/>
      <c r="B71" s="1113"/>
      <c r="C71" s="1113"/>
      <c r="D71" s="1113"/>
      <c r="E71" s="1113"/>
      <c r="F71" s="1113"/>
      <c r="G71" s="1113"/>
      <c r="H71" s="1113"/>
      <c r="I71" s="1113"/>
      <c r="J71" s="1113"/>
      <c r="K71" s="1113"/>
      <c r="L71" s="1113"/>
      <c r="M71" s="1113"/>
      <c r="N71" s="1113"/>
      <c r="O71" s="1113"/>
      <c r="P71" s="1106"/>
    </row>
    <row r="72" spans="1:16" ht="15">
      <c r="A72" s="1141"/>
      <c r="B72" s="1113"/>
      <c r="C72" s="1113"/>
      <c r="D72" s="1113"/>
      <c r="E72" s="1113"/>
      <c r="F72" s="1113"/>
      <c r="G72" s="1113"/>
      <c r="H72" s="1113"/>
      <c r="I72" s="1113"/>
      <c r="J72" s="1113"/>
      <c r="K72" s="1113"/>
      <c r="L72" s="1113"/>
      <c r="M72" s="1113"/>
      <c r="N72" s="1113"/>
      <c r="O72" s="1113"/>
      <c r="P72" s="1106"/>
    </row>
    <row r="73" spans="1:16" ht="15">
      <c r="A73" s="1141"/>
      <c r="B73" s="1113"/>
      <c r="C73" s="1113"/>
      <c r="D73" s="1113"/>
      <c r="E73" s="1113"/>
      <c r="F73" s="1113"/>
      <c r="G73" s="1113"/>
      <c r="H73" s="1113"/>
      <c r="I73" s="1113"/>
      <c r="J73" s="1113"/>
      <c r="K73" s="1113"/>
      <c r="L73" s="1113"/>
      <c r="M73" s="1113"/>
      <c r="N73" s="1113"/>
      <c r="O73" s="1113"/>
      <c r="P73" s="1106"/>
    </row>
    <row r="74" spans="1:16" ht="15">
      <c r="A74" s="1141"/>
      <c r="B74" s="1113"/>
      <c r="C74" s="1113"/>
      <c r="D74" s="1113"/>
      <c r="E74" s="1113"/>
      <c r="F74" s="1113"/>
      <c r="G74" s="1113"/>
      <c r="H74" s="1113"/>
      <c r="I74" s="1113"/>
      <c r="J74" s="1113"/>
      <c r="K74" s="1113"/>
      <c r="L74" s="1113"/>
      <c r="M74" s="1113"/>
      <c r="N74" s="1113"/>
      <c r="O74" s="1113"/>
      <c r="P74" s="1106"/>
    </row>
    <row r="75" spans="1:16" ht="15">
      <c r="A75" s="1141"/>
      <c r="B75" s="1113"/>
      <c r="C75" s="1113"/>
      <c r="D75" s="1113"/>
      <c r="E75" s="1113"/>
      <c r="F75" s="1113"/>
      <c r="G75" s="1113"/>
      <c r="H75" s="1113"/>
      <c r="I75" s="1113"/>
      <c r="J75" s="1113"/>
      <c r="K75" s="1113"/>
      <c r="L75" s="1113"/>
      <c r="M75" s="1113"/>
      <c r="N75" s="1113"/>
      <c r="O75" s="1113"/>
      <c r="P75" s="1106"/>
    </row>
    <row r="76" spans="1:16" ht="15">
      <c r="A76" s="1141"/>
      <c r="B76" s="1113"/>
      <c r="C76" s="1113"/>
      <c r="D76" s="1113"/>
      <c r="E76" s="1113"/>
      <c r="F76" s="1113"/>
      <c r="G76" s="1113"/>
      <c r="H76" s="1113"/>
      <c r="I76" s="1113"/>
      <c r="J76" s="1113"/>
      <c r="K76" s="1113"/>
      <c r="L76" s="1113"/>
      <c r="M76" s="1113"/>
      <c r="N76" s="1113"/>
      <c r="O76" s="1113"/>
      <c r="P76" s="1106"/>
    </row>
    <row r="77" spans="1:16" ht="15">
      <c r="A77" s="1141"/>
      <c r="B77" s="1113"/>
      <c r="C77" s="1113"/>
      <c r="D77" s="1113"/>
      <c r="E77" s="1113"/>
      <c r="F77" s="1113"/>
      <c r="G77" s="1113"/>
      <c r="H77" s="1113"/>
      <c r="I77" s="1113"/>
      <c r="J77" s="1113"/>
      <c r="K77" s="1113"/>
      <c r="L77" s="1113"/>
      <c r="M77" s="1113"/>
      <c r="N77" s="1113"/>
      <c r="O77" s="1113"/>
      <c r="P77" s="1106"/>
    </row>
    <row r="78" spans="1:16" ht="15">
      <c r="A78" s="1141"/>
      <c r="B78" s="1113"/>
      <c r="C78" s="1113"/>
      <c r="D78" s="1113"/>
      <c r="E78" s="1113"/>
      <c r="F78" s="1113"/>
      <c r="G78" s="1113"/>
      <c r="H78" s="1113"/>
      <c r="I78" s="1113"/>
      <c r="J78" s="1113"/>
      <c r="K78" s="1113"/>
      <c r="L78" s="1113"/>
      <c r="M78" s="1113"/>
      <c r="N78" s="1113"/>
      <c r="O78" s="1113"/>
    </row>
  </sheetData>
  <mergeCells count="8">
    <mergeCell ref="B53:I54"/>
    <mergeCell ref="B56:F57"/>
    <mergeCell ref="A7:N7"/>
    <mergeCell ref="Q9:Q10"/>
    <mergeCell ref="I19:I20"/>
    <mergeCell ref="A41:H44"/>
    <mergeCell ref="B46:H48"/>
    <mergeCell ref="B50:H51"/>
  </mergeCells>
  <pageMargins left="0.7" right="0.7" top="0.75" bottom="0.75" header="0.3" footer="0.3"/>
  <pageSetup orientation="landscape"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52BD3-7D5F-47BC-B0BC-C9B33AF9C5E2}">
  <sheetPr>
    <pageSetUpPr autoPageBreaks="0"/>
  </sheetPr>
  <dimension ref="A1:Q87"/>
  <sheetViews>
    <sheetView tabSelected="1" workbookViewId="0">
      <selection activeCell="F7" sqref="F7"/>
    </sheetView>
  </sheetViews>
  <sheetFormatPr defaultRowHeight="12.75"/>
  <cols>
    <col min="4" max="4" width="24" customWidth="1"/>
    <col min="5" max="5" width="25.140625" customWidth="1"/>
    <col min="6" max="6" width="25.28515625" customWidth="1"/>
    <col min="7" max="7" width="4.42578125" customWidth="1"/>
    <col min="8" max="8" width="20.28515625" customWidth="1"/>
    <col min="9" max="9" width="4.5703125" customWidth="1"/>
    <col min="10" max="10" width="19.85546875" customWidth="1"/>
    <col min="12" max="12" width="19.140625" customWidth="1"/>
    <col min="13" max="13" width="17.85546875" customWidth="1"/>
    <col min="14" max="14" width="20" customWidth="1"/>
  </cols>
  <sheetData>
    <row r="1" spans="1:17" ht="15.75">
      <c r="A1" s="1102" t="s">
        <v>1104</v>
      </c>
      <c r="B1" s="1155"/>
      <c r="C1" s="1155"/>
      <c r="D1" s="1155"/>
      <c r="E1" s="1155"/>
      <c r="F1" s="1155"/>
      <c r="G1" s="1155"/>
      <c r="H1" s="1155"/>
      <c r="I1" s="1155"/>
      <c r="J1" s="1155"/>
      <c r="K1" s="1155"/>
      <c r="L1" s="1104"/>
      <c r="M1" s="1155"/>
      <c r="N1" s="1105"/>
      <c r="O1" s="1155"/>
      <c r="P1" s="1155"/>
      <c r="Q1" s="1155"/>
    </row>
    <row r="2" spans="1:17" ht="15">
      <c r="A2" s="1102" t="s">
        <v>1106</v>
      </c>
      <c r="B2" s="1155"/>
      <c r="C2" s="1155"/>
      <c r="D2" s="1155"/>
      <c r="E2" s="1155"/>
      <c r="F2" s="1155"/>
      <c r="G2" s="1155"/>
      <c r="H2" s="1155"/>
      <c r="I2" s="1155"/>
      <c r="J2" s="1155"/>
      <c r="K2" s="1155"/>
      <c r="L2" s="1107"/>
      <c r="M2" s="1155"/>
      <c r="N2" s="1108"/>
      <c r="O2" s="1155"/>
      <c r="P2" s="1155"/>
      <c r="Q2" s="1155"/>
    </row>
    <row r="3" spans="1:17" ht="15">
      <c r="A3" s="1102" t="s">
        <v>1108</v>
      </c>
      <c r="B3" s="1155"/>
      <c r="C3" s="1155"/>
      <c r="D3" s="1155"/>
      <c r="E3" s="1155"/>
      <c r="F3" s="1155"/>
      <c r="G3" s="1155"/>
      <c r="H3" s="1155"/>
      <c r="I3" s="1155"/>
      <c r="J3" s="1155"/>
      <c r="K3" s="1155"/>
      <c r="L3" s="1155"/>
      <c r="M3" s="1155"/>
      <c r="N3" s="1108"/>
      <c r="O3" s="1155"/>
      <c r="P3" s="1155"/>
      <c r="Q3" s="1155"/>
    </row>
    <row r="4" spans="1:17" ht="15">
      <c r="A4" s="1102" t="s">
        <v>1192</v>
      </c>
      <c r="B4" s="1155"/>
      <c r="C4" s="1155"/>
      <c r="D4" s="1155"/>
      <c r="E4" s="1155"/>
      <c r="F4" s="1155"/>
      <c r="G4" s="1155"/>
      <c r="H4" s="1155"/>
      <c r="I4" s="1155"/>
      <c r="J4" s="1155"/>
      <c r="K4" s="1155"/>
      <c r="L4" s="1155"/>
      <c r="M4" s="1155"/>
      <c r="N4" s="1105"/>
      <c r="O4" s="1155"/>
      <c r="P4" s="1155"/>
      <c r="Q4" s="1155"/>
    </row>
    <row r="5" spans="1:17" ht="15">
      <c r="A5" s="1102" t="s">
        <v>1112</v>
      </c>
      <c r="B5" s="1155"/>
      <c r="C5" s="1155"/>
      <c r="D5" s="1155"/>
      <c r="E5" s="1155"/>
      <c r="F5" s="1155"/>
      <c r="G5" s="1155"/>
      <c r="H5" s="1155"/>
      <c r="I5" s="1155"/>
      <c r="J5" s="1155"/>
      <c r="K5" s="1155"/>
      <c r="L5" s="1155"/>
      <c r="M5" s="1155"/>
      <c r="N5" s="1155"/>
      <c r="O5" s="1155"/>
      <c r="P5" s="1155"/>
      <c r="Q5" s="1155"/>
    </row>
    <row r="6" spans="1:17" ht="15">
      <c r="A6" s="1102" t="s">
        <v>988</v>
      </c>
      <c r="B6" s="1155"/>
      <c r="C6" s="1155"/>
      <c r="D6" s="1155"/>
      <c r="E6" s="1155"/>
      <c r="F6" s="1155"/>
      <c r="G6" s="1155"/>
      <c r="H6" s="1155"/>
      <c r="I6" s="1155"/>
      <c r="J6" s="1155"/>
      <c r="K6" s="1155"/>
      <c r="L6" s="1155"/>
      <c r="M6" s="1155"/>
      <c r="N6" s="1155"/>
      <c r="O6" s="1155"/>
      <c r="P6" s="1155"/>
      <c r="Q6" s="1155"/>
    </row>
    <row r="7" spans="1:17" ht="15">
      <c r="A7" s="1276" t="s">
        <v>1193</v>
      </c>
      <c r="B7" s="1276"/>
      <c r="C7" s="1276"/>
      <c r="D7" s="1276"/>
      <c r="E7" s="1276"/>
      <c r="F7" s="1276"/>
      <c r="G7" s="1276"/>
      <c r="H7" s="1276"/>
      <c r="I7" s="1276"/>
      <c r="J7" s="1276"/>
      <c r="K7" s="1276"/>
      <c r="L7" s="1276"/>
      <c r="M7" s="1276"/>
      <c r="N7" s="1276"/>
      <c r="O7" s="1155"/>
      <c r="P7" s="1155"/>
      <c r="Q7" s="1155"/>
    </row>
    <row r="9" spans="1:17" ht="15">
      <c r="A9" s="1109" t="s">
        <v>148</v>
      </c>
      <c r="B9" s="1110" t="s">
        <v>149</v>
      </c>
      <c r="C9" s="1110"/>
      <c r="D9" s="1159" t="s">
        <v>150</v>
      </c>
      <c r="E9" s="1110" t="s">
        <v>151</v>
      </c>
      <c r="F9" s="1110" t="s">
        <v>152</v>
      </c>
      <c r="G9" s="1110"/>
      <c r="H9" s="1110" t="s">
        <v>1114</v>
      </c>
      <c r="I9" s="1110"/>
      <c r="J9" s="1110" t="s">
        <v>154</v>
      </c>
      <c r="K9" s="1110"/>
      <c r="L9" s="1110" t="s">
        <v>1115</v>
      </c>
      <c r="M9" s="1110" t="s">
        <v>156</v>
      </c>
      <c r="N9" s="1110" t="s">
        <v>1116</v>
      </c>
      <c r="O9" s="1155"/>
      <c r="P9" s="1155"/>
      <c r="Q9" s="1277"/>
    </row>
    <row r="10" spans="1:17" ht="15">
      <c r="A10" s="1155"/>
      <c r="B10" s="1155"/>
      <c r="C10" s="1155"/>
      <c r="D10" s="1155"/>
      <c r="E10" s="1155"/>
      <c r="F10" s="1111"/>
      <c r="G10" s="1111"/>
      <c r="H10" s="1111"/>
      <c r="I10" s="1155"/>
      <c r="J10" s="1155"/>
      <c r="K10" s="1155"/>
      <c r="L10" s="1155"/>
      <c r="M10" s="1155"/>
      <c r="N10" s="1155"/>
      <c r="O10" s="1155"/>
      <c r="P10" s="1155"/>
      <c r="Q10" s="1277"/>
    </row>
    <row r="11" spans="1:17" ht="39">
      <c r="A11" s="1102" t="s">
        <v>1117</v>
      </c>
      <c r="B11" s="1103" t="s">
        <v>1118</v>
      </c>
      <c r="C11" s="1155"/>
      <c r="D11" s="1160" t="s">
        <v>1194</v>
      </c>
      <c r="E11" s="1110" t="s">
        <v>1001</v>
      </c>
      <c r="F11" s="1112" t="s">
        <v>1120</v>
      </c>
      <c r="G11" s="1112"/>
      <c r="H11" s="1112" t="s">
        <v>1121</v>
      </c>
      <c r="I11" s="1113"/>
      <c r="J11" s="1112" t="s">
        <v>1122</v>
      </c>
      <c r="K11" s="1103"/>
      <c r="L11" s="1112" t="s">
        <v>1123</v>
      </c>
      <c r="M11" s="1112" t="s">
        <v>1124</v>
      </c>
      <c r="N11" s="1112" t="s">
        <v>1125</v>
      </c>
      <c r="O11" s="1155"/>
      <c r="P11" s="1155"/>
      <c r="Q11" s="1155"/>
    </row>
    <row r="12" spans="1:17" ht="15.75">
      <c r="A12" s="1155"/>
      <c r="B12" s="1155"/>
      <c r="C12" s="1155"/>
      <c r="D12" s="1160"/>
      <c r="E12" s="1110"/>
      <c r="F12" s="1112"/>
      <c r="G12" s="1112"/>
      <c r="H12" s="1112"/>
      <c r="I12" s="1113"/>
      <c r="J12" s="1112"/>
      <c r="K12" s="1103"/>
      <c r="L12" s="1112"/>
      <c r="M12" s="1155"/>
      <c r="N12" s="1111"/>
      <c r="O12" s="1155"/>
      <c r="P12" s="1155"/>
      <c r="Q12" s="1155"/>
    </row>
    <row r="13" spans="1:17" ht="15.75">
      <c r="A13" s="1114" t="s">
        <v>1126</v>
      </c>
      <c r="B13" s="1155"/>
      <c r="C13" s="1155"/>
      <c r="D13" s="1160"/>
      <c r="E13" s="1110"/>
      <c r="F13" s="1112"/>
      <c r="G13" s="1112"/>
      <c r="H13" s="1112"/>
      <c r="I13" s="1113"/>
      <c r="J13" s="1112"/>
      <c r="K13" s="1103"/>
      <c r="L13" s="1112"/>
      <c r="M13" s="1155"/>
      <c r="N13" s="1111"/>
      <c r="O13" s="1155"/>
      <c r="P13" s="1155"/>
      <c r="Q13" s="1155"/>
    </row>
    <row r="14" spans="1:17" ht="15">
      <c r="A14" s="1155"/>
      <c r="B14" s="1155"/>
      <c r="C14" s="1155"/>
      <c r="D14" s="1161"/>
      <c r="E14" s="1106"/>
      <c r="F14" s="1115"/>
      <c r="G14" s="1115"/>
      <c r="H14" s="1115"/>
      <c r="I14" s="1115"/>
      <c r="J14" s="1115"/>
      <c r="K14" s="1115"/>
      <c r="L14" s="1115"/>
      <c r="M14" s="1106"/>
      <c r="N14" s="1106"/>
      <c r="O14" s="1155"/>
      <c r="P14" s="1155"/>
      <c r="Q14" s="1155"/>
    </row>
    <row r="15" spans="1:17" ht="15">
      <c r="A15" s="1116">
        <v>1</v>
      </c>
      <c r="B15" s="1117" t="s">
        <v>1195</v>
      </c>
      <c r="C15" s="1155"/>
      <c r="D15" s="1118">
        <v>-744125741</v>
      </c>
      <c r="E15" s="1106" t="s">
        <v>1196</v>
      </c>
      <c r="F15" s="1103"/>
      <c r="G15" s="1103"/>
      <c r="H15" s="1103"/>
      <c r="I15" s="1103"/>
      <c r="J15" s="1103"/>
      <c r="K15" s="1103"/>
      <c r="L15" s="1103"/>
      <c r="M15" s="1155"/>
      <c r="N15" s="1106"/>
      <c r="O15" s="1155"/>
      <c r="P15" s="1155"/>
      <c r="Q15" s="1155"/>
    </row>
    <row r="16" spans="1:17" ht="15.75">
      <c r="A16" s="1116">
        <v>2</v>
      </c>
      <c r="B16" s="1117"/>
      <c r="C16" s="1155"/>
      <c r="D16" s="1165">
        <v>0.43256499999999998</v>
      </c>
      <c r="E16" s="1106" t="s">
        <v>1197</v>
      </c>
      <c r="F16" s="1113"/>
      <c r="G16" s="1113"/>
      <c r="H16" s="1120"/>
      <c r="I16" s="1113"/>
      <c r="J16" s="1113"/>
      <c r="K16" s="1113"/>
      <c r="L16" s="1113"/>
      <c r="M16" s="1106"/>
      <c r="N16" s="1106"/>
      <c r="O16" s="1155"/>
      <c r="P16" s="1155"/>
      <c r="Q16" s="1155"/>
    </row>
    <row r="17" spans="1:16" ht="15.75">
      <c r="A17" s="1116">
        <v>3</v>
      </c>
      <c r="B17" s="1117"/>
      <c r="C17" s="1155"/>
      <c r="D17" s="1168">
        <v>6.5000000000000002E-2</v>
      </c>
      <c r="E17" s="1106" t="s">
        <v>1198</v>
      </c>
      <c r="F17" s="1113"/>
      <c r="G17" s="1113"/>
      <c r="H17" s="1120"/>
      <c r="I17" s="1113"/>
      <c r="J17" s="1113"/>
      <c r="K17" s="1113"/>
      <c r="L17" s="1113"/>
      <c r="M17" s="1106"/>
      <c r="N17" s="1106"/>
      <c r="O17" s="1155"/>
      <c r="P17" s="1155"/>
    </row>
    <row r="18" spans="1:16" ht="15.75">
      <c r="A18" s="1116">
        <v>4</v>
      </c>
      <c r="B18" s="1117"/>
      <c r="C18" s="1155"/>
      <c r="D18" s="1167">
        <v>-20922378.825118225</v>
      </c>
      <c r="E18" s="1103" t="s">
        <v>1199</v>
      </c>
      <c r="F18" s="1113"/>
      <c r="G18" s="1113"/>
      <c r="H18" s="1120"/>
      <c r="I18" s="1113"/>
      <c r="J18" s="1113"/>
      <c r="K18" s="1113"/>
      <c r="L18" s="1113"/>
      <c r="M18" s="1106"/>
      <c r="N18" s="1106"/>
      <c r="O18" s="1155"/>
      <c r="P18" s="1155"/>
    </row>
    <row r="19" spans="1:16" ht="15.75">
      <c r="A19" s="1116">
        <v>5</v>
      </c>
      <c r="B19" s="1117"/>
      <c r="C19" s="1155"/>
      <c r="D19" s="1167"/>
      <c r="E19" s="1155"/>
      <c r="F19" s="1113"/>
      <c r="G19" s="1113"/>
      <c r="H19" s="1120"/>
      <c r="I19" s="1113"/>
      <c r="J19" s="1113"/>
      <c r="K19" s="1113"/>
      <c r="L19" s="1113"/>
      <c r="M19" s="1106"/>
      <c r="N19" s="1106"/>
      <c r="O19" s="1155"/>
      <c r="P19" s="1155"/>
    </row>
    <row r="20" spans="1:16" ht="15.75">
      <c r="A20" s="1116">
        <v>6</v>
      </c>
      <c r="B20" s="1117"/>
      <c r="C20" s="1155"/>
      <c r="D20" s="1167">
        <v>-744125741</v>
      </c>
      <c r="E20" s="1106" t="s">
        <v>1196</v>
      </c>
      <c r="F20" s="1113"/>
      <c r="G20" s="1113"/>
      <c r="H20" s="1120"/>
      <c r="I20" s="1113"/>
      <c r="J20" s="1113"/>
      <c r="K20" s="1113"/>
      <c r="L20" s="1113"/>
      <c r="M20" s="1106"/>
      <c r="N20" s="1106"/>
      <c r="O20" s="1155"/>
      <c r="P20" s="1155"/>
    </row>
    <row r="21" spans="1:16" ht="15.75">
      <c r="A21" s="1116">
        <v>7</v>
      </c>
      <c r="B21" s="1117"/>
      <c r="C21" s="1155"/>
      <c r="D21" s="1165">
        <v>0.52269500000000002</v>
      </c>
      <c r="E21" s="1106" t="s">
        <v>1200</v>
      </c>
      <c r="F21" s="1113"/>
      <c r="G21" s="1113"/>
      <c r="H21" s="1120"/>
      <c r="I21" s="1113"/>
      <c r="J21" s="1113"/>
      <c r="K21" s="1113"/>
      <c r="L21" s="1113"/>
      <c r="M21" s="1106"/>
      <c r="N21" s="1106"/>
      <c r="O21" s="1155"/>
      <c r="P21" s="1155"/>
    </row>
    <row r="22" spans="1:16" ht="15.75">
      <c r="A22" s="1116">
        <v>8</v>
      </c>
      <c r="B22" s="1117"/>
      <c r="C22" s="1155"/>
      <c r="D22" s="1168">
        <v>6.5000000000000002E-2</v>
      </c>
      <c r="E22" s="1106" t="s">
        <v>1198</v>
      </c>
      <c r="F22" s="1113"/>
      <c r="G22" s="1113"/>
      <c r="H22" s="1120"/>
      <c r="I22" s="1113"/>
      <c r="J22" s="1113"/>
      <c r="K22" s="1113"/>
      <c r="L22" s="1113"/>
      <c r="M22" s="1106"/>
      <c r="N22" s="1106"/>
      <c r="O22" s="1155"/>
      <c r="P22" s="1155"/>
    </row>
    <row r="23" spans="1:16" ht="15.75">
      <c r="A23" s="1116">
        <v>9</v>
      </c>
      <c r="B23" s="1117"/>
      <c r="C23" s="1155"/>
      <c r="D23" s="1167">
        <v>-25281802.272479676</v>
      </c>
      <c r="E23" s="1103" t="s">
        <v>1201</v>
      </c>
      <c r="F23" s="1113"/>
      <c r="G23" s="1113"/>
      <c r="H23" s="1120"/>
      <c r="I23" s="1113"/>
      <c r="J23" s="1113"/>
      <c r="K23" s="1113"/>
      <c r="L23" s="1113"/>
      <c r="M23" s="1106"/>
      <c r="N23" s="1106"/>
      <c r="O23" s="1155"/>
      <c r="P23" s="1155"/>
    </row>
    <row r="24" spans="1:16" ht="15">
      <c r="A24" s="1116">
        <v>10</v>
      </c>
      <c r="B24" s="1117"/>
      <c r="C24" s="1155"/>
      <c r="D24" s="1158"/>
      <c r="E24" s="1155"/>
      <c r="F24" s="1115"/>
      <c r="G24" s="1115"/>
      <c r="H24" s="1121"/>
      <c r="I24" s="1122"/>
      <c r="J24" s="1115"/>
      <c r="K24" s="1115"/>
      <c r="L24" s="1115"/>
      <c r="M24" s="1106"/>
      <c r="N24" s="1106">
        <v>0</v>
      </c>
      <c r="O24" s="1155"/>
      <c r="P24" s="1155"/>
    </row>
    <row r="25" spans="1:16" ht="15">
      <c r="A25" s="1116">
        <v>11</v>
      </c>
      <c r="B25" s="1117"/>
      <c r="C25" s="1155"/>
      <c r="D25" s="1166">
        <v>4359423.4473614506</v>
      </c>
      <c r="E25" s="1103" t="s">
        <v>1202</v>
      </c>
      <c r="F25" s="1169">
        <v>4359423.4473614506</v>
      </c>
      <c r="G25" s="1123"/>
      <c r="H25" s="1121">
        <v>-0.17243325457484768</v>
      </c>
      <c r="I25" s="1122"/>
      <c r="J25" s="1115">
        <v>0</v>
      </c>
      <c r="K25" s="1115"/>
      <c r="L25" s="1115">
        <v>4359423.4473614506</v>
      </c>
      <c r="M25" s="1106" t="s">
        <v>1021</v>
      </c>
      <c r="N25" s="1106">
        <v>-20922378.825118225</v>
      </c>
      <c r="O25" s="1155"/>
      <c r="P25" s="1155"/>
    </row>
    <row r="26" spans="1:16" ht="15">
      <c r="A26" s="1116">
        <v>12</v>
      </c>
      <c r="B26" s="1117"/>
      <c r="C26" s="1155"/>
      <c r="D26" s="1158"/>
      <c r="E26" s="1103" t="s">
        <v>1203</v>
      </c>
      <c r="F26" s="1115">
        <v>-915478.92394590459</v>
      </c>
      <c r="G26" s="1115"/>
      <c r="H26" s="1121"/>
      <c r="I26" s="1156"/>
      <c r="J26" s="1115">
        <v>0</v>
      </c>
      <c r="K26" s="1115"/>
      <c r="L26" s="1115">
        <v>-915478.92394590459</v>
      </c>
      <c r="M26" s="1106" t="s">
        <v>1021</v>
      </c>
      <c r="N26" s="1106">
        <v>0</v>
      </c>
      <c r="O26" s="1155"/>
      <c r="P26" s="1155"/>
    </row>
    <row r="27" spans="1:16" ht="15">
      <c r="A27" s="1116">
        <v>13</v>
      </c>
      <c r="B27" s="1117"/>
      <c r="C27" s="1155"/>
      <c r="D27" s="1161"/>
      <c r="E27" s="1155"/>
      <c r="F27" s="1115"/>
      <c r="G27" s="1115"/>
      <c r="H27" s="1121"/>
      <c r="I27" s="1128"/>
      <c r="J27" s="1115"/>
      <c r="K27" s="1115"/>
      <c r="L27" s="1115"/>
      <c r="M27" s="1106"/>
      <c r="N27" s="1106"/>
      <c r="O27" s="1155"/>
      <c r="P27" s="1155"/>
    </row>
    <row r="28" spans="1:16" ht="15">
      <c r="A28" s="1116">
        <v>14</v>
      </c>
      <c r="B28" s="1155"/>
      <c r="C28" s="1155"/>
      <c r="D28" s="1155"/>
      <c r="E28" s="1106"/>
      <c r="F28" s="1115"/>
      <c r="G28" s="1115"/>
      <c r="H28" s="1124"/>
      <c r="I28" s="1129"/>
      <c r="J28" s="1115"/>
      <c r="K28" s="1115"/>
      <c r="L28" s="1115"/>
      <c r="M28" s="1106"/>
      <c r="N28" s="1106"/>
      <c r="O28" s="1155"/>
      <c r="P28" s="1155"/>
    </row>
    <row r="29" spans="1:16" ht="15">
      <c r="A29" s="1116">
        <v>15</v>
      </c>
      <c r="B29" s="1103" t="s">
        <v>118</v>
      </c>
      <c r="C29" s="1155"/>
      <c r="D29" s="1162">
        <v>-25281802.272479676</v>
      </c>
      <c r="E29" s="1106" t="s">
        <v>1204</v>
      </c>
      <c r="F29" s="1157">
        <v>3443944.5234155459</v>
      </c>
      <c r="G29" s="1132"/>
      <c r="H29" s="1133"/>
      <c r="I29" s="1103"/>
      <c r="J29" s="1157">
        <v>0</v>
      </c>
      <c r="K29" s="1115"/>
      <c r="L29" s="1157">
        <v>3443944.5234155459</v>
      </c>
      <c r="M29" s="1106"/>
      <c r="N29" s="1157">
        <v>-20922378.825118225</v>
      </c>
      <c r="O29" s="1155"/>
      <c r="P29" s="1155"/>
    </row>
    <row r="30" spans="1:16" ht="15">
      <c r="A30" s="1116"/>
      <c r="B30" s="1155"/>
      <c r="C30" s="1155"/>
      <c r="D30" s="1161"/>
      <c r="E30" s="1134"/>
      <c r="F30" s="1123"/>
      <c r="G30" s="1123"/>
      <c r="H30" s="1121"/>
      <c r="I30" s="1115"/>
      <c r="J30" s="1115"/>
      <c r="K30" s="1115"/>
      <c r="L30" s="1115"/>
      <c r="M30" s="1106"/>
      <c r="N30" s="1106"/>
      <c r="O30" s="1155"/>
      <c r="P30" s="1155"/>
    </row>
    <row r="31" spans="1:16" ht="15">
      <c r="A31" s="1135" t="s">
        <v>1142</v>
      </c>
      <c r="B31" s="1155"/>
      <c r="C31" s="1155"/>
      <c r="D31" s="1161"/>
      <c r="E31" s="1106"/>
      <c r="F31" s="1123"/>
      <c r="G31" s="1123"/>
      <c r="H31" s="1121"/>
      <c r="I31" s="1123"/>
      <c r="J31" s="1115"/>
      <c r="K31" s="1115"/>
      <c r="L31" s="1115"/>
      <c r="M31" s="1106"/>
      <c r="N31" s="1106"/>
      <c r="O31" s="1155"/>
      <c r="P31" s="1106"/>
    </row>
    <row r="32" spans="1:16" ht="15.75">
      <c r="A32" s="1116"/>
      <c r="B32" s="1155"/>
      <c r="C32" s="1155"/>
      <c r="D32" s="1155"/>
      <c r="E32" s="1155"/>
      <c r="F32" s="1129"/>
      <c r="G32" s="1129"/>
      <c r="H32" s="1121"/>
      <c r="I32" s="1103"/>
      <c r="J32" s="1113"/>
      <c r="K32" s="1115"/>
      <c r="L32" s="1115"/>
      <c r="M32" s="1155"/>
      <c r="N32" s="1106"/>
      <c r="O32" s="1155"/>
      <c r="P32" s="1106"/>
    </row>
    <row r="33" spans="1:16" ht="15">
      <c r="A33" s="1116">
        <v>16</v>
      </c>
      <c r="B33" s="1117" t="s">
        <v>1195</v>
      </c>
      <c r="C33" s="1155"/>
      <c r="D33" s="1118">
        <v>-156132408</v>
      </c>
      <c r="E33" s="1106" t="s">
        <v>1196</v>
      </c>
      <c r="F33" s="1103"/>
      <c r="G33" s="1103"/>
      <c r="H33" s="1103"/>
      <c r="I33" s="1103"/>
      <c r="J33" s="1103"/>
      <c r="K33" s="1103"/>
      <c r="L33" s="1103"/>
      <c r="M33" s="1155"/>
      <c r="N33" s="1106"/>
      <c r="O33" s="1155"/>
      <c r="P33" s="1106"/>
    </row>
    <row r="34" spans="1:16" ht="15.75">
      <c r="A34" s="1116">
        <v>17</v>
      </c>
      <c r="B34" s="1155"/>
      <c r="C34" s="1155"/>
      <c r="D34" s="1165">
        <v>0.43256499999999998</v>
      </c>
      <c r="E34" s="1106" t="s">
        <v>1197</v>
      </c>
      <c r="F34" s="1113"/>
      <c r="G34" s="1113"/>
      <c r="H34" s="1120"/>
      <c r="I34" s="1113"/>
      <c r="J34" s="1113"/>
      <c r="K34" s="1113"/>
      <c r="L34" s="1113"/>
      <c r="M34" s="1106"/>
      <c r="N34" s="1106"/>
      <c r="O34" s="1155"/>
      <c r="P34" s="1106"/>
    </row>
    <row r="35" spans="1:16" ht="15.75">
      <c r="A35" s="1116">
        <v>18</v>
      </c>
      <c r="B35" s="1155"/>
      <c r="C35" s="1155"/>
      <c r="D35" s="1168">
        <v>6.5000000000000002E-2</v>
      </c>
      <c r="E35" s="1106" t="s">
        <v>1198</v>
      </c>
      <c r="F35" s="1113"/>
      <c r="G35" s="1113"/>
      <c r="H35" s="1120"/>
      <c r="I35" s="1113"/>
      <c r="J35" s="1113"/>
      <c r="K35" s="1113"/>
      <c r="L35" s="1113"/>
      <c r="M35" s="1106"/>
      <c r="N35" s="1106"/>
      <c r="O35" s="1155"/>
      <c r="P35" s="1106"/>
    </row>
    <row r="36" spans="1:16" ht="15.75">
      <c r="A36" s="1116">
        <v>19</v>
      </c>
      <c r="B36" s="1155"/>
      <c r="C36" s="1155"/>
      <c r="D36" s="1167">
        <v>-4389931.9793237997</v>
      </c>
      <c r="E36" s="1103" t="s">
        <v>1199</v>
      </c>
      <c r="F36" s="1113"/>
      <c r="G36" s="1113"/>
      <c r="H36" s="1120"/>
      <c r="I36" s="1113"/>
      <c r="J36" s="1113"/>
      <c r="K36" s="1113"/>
      <c r="L36" s="1113"/>
      <c r="M36" s="1106"/>
      <c r="N36" s="1106"/>
      <c r="O36" s="1155"/>
      <c r="P36" s="1106"/>
    </row>
    <row r="37" spans="1:16" ht="15.75">
      <c r="A37" s="1116">
        <v>20</v>
      </c>
      <c r="B37" s="1155"/>
      <c r="C37" s="1155"/>
      <c r="D37" s="1167"/>
      <c r="E37" s="1155"/>
      <c r="F37" s="1113"/>
      <c r="G37" s="1113"/>
      <c r="H37" s="1120"/>
      <c r="I37" s="1113"/>
      <c r="J37" s="1113"/>
      <c r="K37" s="1113"/>
      <c r="L37" s="1113"/>
      <c r="M37" s="1106"/>
      <c r="N37" s="1106"/>
      <c r="O37" s="1155"/>
      <c r="P37" s="1106"/>
    </row>
    <row r="38" spans="1:16" ht="15.75">
      <c r="A38" s="1116">
        <v>21</v>
      </c>
      <c r="B38" s="1155"/>
      <c r="C38" s="1155"/>
      <c r="D38" s="1167">
        <v>-156132408</v>
      </c>
      <c r="E38" s="1106" t="s">
        <v>1196</v>
      </c>
      <c r="F38" s="1113"/>
      <c r="G38" s="1113"/>
      <c r="H38" s="1120"/>
      <c r="I38" s="1113"/>
      <c r="J38" s="1113"/>
      <c r="K38" s="1113"/>
      <c r="L38" s="1113"/>
      <c r="M38" s="1106"/>
      <c r="N38" s="1106"/>
      <c r="O38" s="1155"/>
      <c r="P38" s="1106"/>
    </row>
    <row r="39" spans="1:16" ht="15.75">
      <c r="A39" s="1116">
        <v>22</v>
      </c>
      <c r="B39" s="1155"/>
      <c r="C39" s="1155"/>
      <c r="D39" s="1165">
        <v>0.52269500000000002</v>
      </c>
      <c r="E39" s="1106" t="s">
        <v>1200</v>
      </c>
      <c r="F39" s="1113"/>
      <c r="G39" s="1113"/>
      <c r="H39" s="1120"/>
      <c r="I39" s="1113"/>
      <c r="J39" s="1113"/>
      <c r="K39" s="1113"/>
      <c r="L39" s="1113"/>
      <c r="M39" s="1106"/>
      <c r="N39" s="1106"/>
      <c r="O39" s="1155"/>
      <c r="P39" s="1106"/>
    </row>
    <row r="40" spans="1:16" ht="15.75">
      <c r="A40" s="1116">
        <v>23</v>
      </c>
      <c r="B40" s="1117"/>
      <c r="C40" s="1155"/>
      <c r="D40" s="1168">
        <v>6.5000000000000002E-2</v>
      </c>
      <c r="E40" s="1106" t="s">
        <v>1198</v>
      </c>
      <c r="F40" s="1113"/>
      <c r="G40" s="1113"/>
      <c r="H40" s="1120"/>
      <c r="I40" s="1113"/>
      <c r="J40" s="1113"/>
      <c r="K40" s="1113"/>
      <c r="L40" s="1113"/>
      <c r="M40" s="1106"/>
      <c r="N40" s="1106"/>
      <c r="O40" s="1155"/>
      <c r="P40" s="1106"/>
    </row>
    <row r="41" spans="1:16" ht="15.75">
      <c r="A41" s="1116">
        <v>24</v>
      </c>
      <c r="B41" s="1117"/>
      <c r="C41" s="1155"/>
      <c r="D41" s="1167">
        <v>-5304625.8849713998</v>
      </c>
      <c r="E41" s="1103" t="s">
        <v>1201</v>
      </c>
      <c r="F41" s="1113"/>
      <c r="G41" s="1113"/>
      <c r="H41" s="1120"/>
      <c r="I41" s="1113"/>
      <c r="J41" s="1113"/>
      <c r="K41" s="1113"/>
      <c r="L41" s="1113"/>
      <c r="M41" s="1106"/>
      <c r="N41" s="1106"/>
      <c r="O41" s="1103"/>
      <c r="P41" s="1106"/>
    </row>
    <row r="42" spans="1:16" ht="15">
      <c r="A42" s="1116">
        <v>25</v>
      </c>
      <c r="B42" s="1117"/>
      <c r="C42" s="1155"/>
      <c r="D42" s="1158"/>
      <c r="E42" s="1155"/>
      <c r="F42" s="1115"/>
      <c r="G42" s="1115"/>
      <c r="H42" s="1121"/>
      <c r="I42" s="1122"/>
      <c r="J42" s="1115"/>
      <c r="K42" s="1115"/>
      <c r="L42" s="1115"/>
      <c r="M42" s="1106"/>
      <c r="N42" s="1106">
        <v>0</v>
      </c>
      <c r="O42" s="1103"/>
      <c r="P42" s="1136"/>
    </row>
    <row r="43" spans="1:16" ht="15">
      <c r="A43" s="1116">
        <v>26</v>
      </c>
      <c r="B43" s="1117"/>
      <c r="C43" s="1155"/>
      <c r="D43" s="1166">
        <v>914693.90564760007</v>
      </c>
      <c r="E43" s="1103" t="s">
        <v>1205</v>
      </c>
      <c r="F43" s="1169">
        <v>914693.90564760007</v>
      </c>
      <c r="G43" s="1123"/>
      <c r="H43" s="1121">
        <v>-0.17243325457484768</v>
      </c>
      <c r="I43" s="1122"/>
      <c r="J43" s="1115">
        <v>0</v>
      </c>
      <c r="K43" s="1115"/>
      <c r="L43" s="1115">
        <v>914693.90564760007</v>
      </c>
      <c r="M43" s="1106" t="s">
        <v>1021</v>
      </c>
      <c r="N43" s="1106">
        <v>-4389931.9793237997</v>
      </c>
      <c r="O43" s="1103"/>
      <c r="P43" s="1136"/>
    </row>
    <row r="44" spans="1:16" ht="15">
      <c r="A44" s="1116">
        <v>27</v>
      </c>
      <c r="B44" s="1117"/>
      <c r="C44" s="1155"/>
      <c r="D44" s="1158"/>
      <c r="E44" s="1103" t="s">
        <v>1203</v>
      </c>
      <c r="F44" s="1115">
        <v>-192085.720185996</v>
      </c>
      <c r="G44" s="1115"/>
      <c r="H44" s="1121"/>
      <c r="I44" s="1156"/>
      <c r="J44" s="1115">
        <v>0</v>
      </c>
      <c r="K44" s="1115"/>
      <c r="L44" s="1115">
        <v>-192085.720185996</v>
      </c>
      <c r="M44" s="1106" t="s">
        <v>1021</v>
      </c>
      <c r="N44" s="1106">
        <v>0</v>
      </c>
      <c r="O44" s="1103"/>
      <c r="P44" s="1106"/>
    </row>
    <row r="45" spans="1:16" ht="15">
      <c r="A45" s="1116">
        <v>28</v>
      </c>
      <c r="B45" s="1117"/>
      <c r="C45" s="1155"/>
      <c r="D45" s="1163"/>
      <c r="E45" s="1117"/>
      <c r="F45" s="1115"/>
      <c r="G45" s="1115"/>
      <c r="H45" s="1121"/>
      <c r="I45" s="1123"/>
      <c r="J45" s="1115"/>
      <c r="K45" s="1115"/>
      <c r="L45" s="1115"/>
      <c r="M45" s="1155"/>
      <c r="N45" s="1106"/>
      <c r="O45" s="1103"/>
      <c r="P45" s="1106"/>
    </row>
    <row r="46" spans="1:16" ht="15">
      <c r="A46" s="1116">
        <v>29</v>
      </c>
      <c r="B46" s="1155"/>
      <c r="C46" s="1155"/>
      <c r="D46" s="1163"/>
      <c r="E46" s="1106"/>
      <c r="F46" s="1123"/>
      <c r="G46" s="1123"/>
      <c r="H46" s="1121"/>
      <c r="I46" s="1123"/>
      <c r="J46" s="1115"/>
      <c r="K46" s="1115"/>
      <c r="L46" s="1115"/>
      <c r="M46" s="1155"/>
      <c r="N46" s="1106"/>
      <c r="O46" s="1103"/>
      <c r="P46" s="1106"/>
    </row>
    <row r="47" spans="1:16" ht="15">
      <c r="A47" s="1116">
        <v>30</v>
      </c>
      <c r="B47" s="1103" t="s">
        <v>118</v>
      </c>
      <c r="C47" s="1155"/>
      <c r="D47" s="1162">
        <v>-5304625.8849713998</v>
      </c>
      <c r="E47" s="1106" t="s">
        <v>1206</v>
      </c>
      <c r="F47" s="1157">
        <v>722608.18546160404</v>
      </c>
      <c r="G47" s="1132"/>
      <c r="H47" s="1140"/>
      <c r="I47" s="1103"/>
      <c r="J47" s="1157">
        <v>0</v>
      </c>
      <c r="K47" s="1115"/>
      <c r="L47" s="1157">
        <v>722608.18546160404</v>
      </c>
      <c r="M47" s="1155"/>
      <c r="N47" s="1157">
        <v>-4389931.9793237997</v>
      </c>
      <c r="O47" s="1103"/>
      <c r="P47" s="1106"/>
    </row>
    <row r="48" spans="1:16" ht="15">
      <c r="A48" s="1116"/>
      <c r="B48" s="1155"/>
      <c r="C48" s="1155"/>
      <c r="D48" s="1163"/>
      <c r="E48" s="1106"/>
      <c r="F48" s="1132"/>
      <c r="G48" s="1132"/>
      <c r="H48" s="1140"/>
      <c r="I48" s="1103"/>
      <c r="J48" s="1132"/>
      <c r="K48" s="1115"/>
      <c r="L48" s="1132"/>
      <c r="M48" s="1155"/>
      <c r="N48" s="1106"/>
      <c r="O48" s="1103"/>
      <c r="P48" s="1106"/>
    </row>
    <row r="49" spans="1:16" ht="15">
      <c r="A49" s="1116"/>
      <c r="B49" s="1155"/>
      <c r="C49" s="1155"/>
      <c r="D49" s="1163"/>
      <c r="E49" s="1106"/>
      <c r="F49" s="1132"/>
      <c r="G49" s="1132"/>
      <c r="H49" s="1140"/>
      <c r="I49" s="1103"/>
      <c r="J49" s="1132"/>
      <c r="K49" s="1115"/>
      <c r="L49" s="1132"/>
      <c r="M49" s="1155"/>
      <c r="N49" s="1106"/>
      <c r="O49" s="1103"/>
      <c r="P49" s="1106"/>
    </row>
    <row r="50" spans="1:16" ht="15">
      <c r="A50" s="1274" t="s">
        <v>1144</v>
      </c>
      <c r="B50" s="1274"/>
      <c r="C50" s="1274"/>
      <c r="D50" s="1274"/>
      <c r="E50" s="1274"/>
      <c r="F50" s="1274"/>
      <c r="G50" s="1274"/>
      <c r="H50" s="1274"/>
      <c r="I50" s="1103"/>
      <c r="J50" s="1103"/>
      <c r="K50" s="1103"/>
      <c r="L50" s="1103"/>
      <c r="M50" s="1155"/>
      <c r="N50" s="1106"/>
      <c r="O50" s="1103"/>
      <c r="P50" s="1106"/>
    </row>
    <row r="51" spans="1:16" ht="15">
      <c r="A51" s="1274"/>
      <c r="B51" s="1274"/>
      <c r="C51" s="1274"/>
      <c r="D51" s="1274"/>
      <c r="E51" s="1274"/>
      <c r="F51" s="1274"/>
      <c r="G51" s="1274"/>
      <c r="H51" s="1274"/>
      <c r="I51" s="1103"/>
      <c r="J51" s="1103"/>
      <c r="K51" s="1103"/>
      <c r="L51" s="1103"/>
      <c r="M51" s="1155"/>
      <c r="N51" s="1106"/>
      <c r="O51" s="1103"/>
      <c r="P51" s="1106"/>
    </row>
    <row r="52" spans="1:16" ht="15">
      <c r="A52" s="1274"/>
      <c r="B52" s="1274"/>
      <c r="C52" s="1274"/>
      <c r="D52" s="1274"/>
      <c r="E52" s="1274"/>
      <c r="F52" s="1274"/>
      <c r="G52" s="1274"/>
      <c r="H52" s="1274"/>
      <c r="I52" s="1103"/>
      <c r="J52" s="1103"/>
      <c r="K52" s="1103"/>
      <c r="L52" s="1103"/>
      <c r="M52" s="1155"/>
      <c r="N52" s="1106"/>
      <c r="O52" s="1103"/>
      <c r="P52" s="1106"/>
    </row>
    <row r="53" spans="1:16" ht="15">
      <c r="A53" s="1274"/>
      <c r="B53" s="1274"/>
      <c r="C53" s="1274"/>
      <c r="D53" s="1274"/>
      <c r="E53" s="1274"/>
      <c r="F53" s="1274"/>
      <c r="G53" s="1274"/>
      <c r="H53" s="1274"/>
      <c r="I53" s="1103"/>
      <c r="J53" s="1103"/>
      <c r="K53" s="1103"/>
      <c r="L53" s="1103"/>
      <c r="M53" s="1155"/>
      <c r="N53" s="1106"/>
      <c r="O53" s="1103"/>
      <c r="P53" s="1106"/>
    </row>
    <row r="54" spans="1:16" ht="15">
      <c r="A54" s="1116"/>
      <c r="B54" s="1155"/>
      <c r="C54" s="1155"/>
      <c r="D54" s="1155"/>
      <c r="E54" s="1155"/>
      <c r="F54" s="1103"/>
      <c r="G54" s="1103"/>
      <c r="H54" s="1103"/>
      <c r="I54" s="1103"/>
      <c r="J54" s="1103"/>
      <c r="K54" s="1103"/>
      <c r="L54" s="1103"/>
      <c r="M54" s="1155"/>
      <c r="N54" s="1106"/>
      <c r="O54" s="1103"/>
      <c r="P54" s="1106"/>
    </row>
    <row r="55" spans="1:16" ht="15">
      <c r="A55" s="1102" t="s">
        <v>1145</v>
      </c>
      <c r="B55" s="1274" t="s">
        <v>1146</v>
      </c>
      <c r="C55" s="1274"/>
      <c r="D55" s="1274"/>
      <c r="E55" s="1274"/>
      <c r="F55" s="1274"/>
      <c r="G55" s="1274"/>
      <c r="H55" s="1274"/>
      <c r="I55" s="1103"/>
      <c r="J55" s="1103"/>
      <c r="K55" s="1103"/>
      <c r="L55" s="1103"/>
      <c r="M55" s="1155"/>
      <c r="N55" s="1106"/>
      <c r="O55" s="1103"/>
      <c r="P55" s="1106"/>
    </row>
    <row r="56" spans="1:16" ht="15">
      <c r="A56" s="1155"/>
      <c r="B56" s="1274"/>
      <c r="C56" s="1274"/>
      <c r="D56" s="1274"/>
      <c r="E56" s="1274"/>
      <c r="F56" s="1274"/>
      <c r="G56" s="1274"/>
      <c r="H56" s="1274"/>
      <c r="I56" s="1103"/>
      <c r="J56" s="1103"/>
      <c r="K56" s="1103"/>
      <c r="L56" s="1103"/>
      <c r="M56" s="1155"/>
      <c r="N56" s="1106"/>
      <c r="O56" s="1103"/>
      <c r="P56" s="1106"/>
    </row>
    <row r="57" spans="1:16" ht="15">
      <c r="A57" s="1155"/>
      <c r="B57" s="1274"/>
      <c r="C57" s="1274"/>
      <c r="D57" s="1274"/>
      <c r="E57" s="1274"/>
      <c r="F57" s="1274"/>
      <c r="G57" s="1274"/>
      <c r="H57" s="1274"/>
      <c r="I57" s="1103"/>
      <c r="J57" s="1103"/>
      <c r="K57" s="1103"/>
      <c r="L57" s="1103"/>
      <c r="M57" s="1155"/>
      <c r="N57" s="1106"/>
      <c r="O57" s="1103"/>
      <c r="P57" s="1106"/>
    </row>
    <row r="58" spans="1:16" ht="15.75">
      <c r="A58" s="1103"/>
      <c r="B58" s="1155"/>
      <c r="C58" s="1155"/>
      <c r="D58" s="1155"/>
      <c r="E58" s="1155"/>
      <c r="F58" s="1155"/>
      <c r="G58" s="1155"/>
      <c r="H58" s="1155"/>
      <c r="I58" s="1113"/>
      <c r="J58" s="1106"/>
      <c r="K58" s="1106"/>
      <c r="L58" s="1106"/>
      <c r="M58" s="1106"/>
      <c r="N58" s="1106"/>
      <c r="O58" s="1155"/>
      <c r="P58" s="1155"/>
    </row>
    <row r="59" spans="1:16" ht="15">
      <c r="A59" s="1102" t="s">
        <v>1147</v>
      </c>
      <c r="B59" s="1274" t="s">
        <v>1207</v>
      </c>
      <c r="C59" s="1274"/>
      <c r="D59" s="1274"/>
      <c r="E59" s="1274"/>
      <c r="F59" s="1274"/>
      <c r="G59" s="1274"/>
      <c r="H59" s="1274"/>
      <c r="I59" s="1155"/>
      <c r="J59" s="1106"/>
      <c r="K59" s="1106"/>
      <c r="L59" s="1106"/>
      <c r="M59" s="1106"/>
      <c r="N59" s="1106"/>
      <c r="O59" s="1155"/>
      <c r="P59" s="1155"/>
    </row>
    <row r="60" spans="1:16" ht="15">
      <c r="A60" s="1155"/>
      <c r="B60" s="1274"/>
      <c r="C60" s="1274"/>
      <c r="D60" s="1274"/>
      <c r="E60" s="1274"/>
      <c r="F60" s="1274"/>
      <c r="G60" s="1274"/>
      <c r="H60" s="1274"/>
      <c r="I60" s="1155"/>
      <c r="J60" s="1106"/>
      <c r="K60" s="1106"/>
      <c r="L60" s="1106"/>
      <c r="M60" s="1106"/>
      <c r="N60" s="1106"/>
      <c r="O60" s="1155"/>
      <c r="P60" s="1155"/>
    </row>
    <row r="61" spans="1:16" ht="15">
      <c r="A61" s="1103"/>
      <c r="B61" s="1155"/>
      <c r="C61" s="1155"/>
      <c r="D61" s="1155"/>
      <c r="E61" s="1155"/>
      <c r="F61" s="1155"/>
      <c r="G61" s="1155"/>
      <c r="H61" s="1155"/>
      <c r="I61" s="1155"/>
      <c r="J61" s="1106"/>
      <c r="K61" s="1106"/>
      <c r="L61" s="1106"/>
      <c r="M61" s="1106"/>
      <c r="N61" s="1106"/>
      <c r="O61" s="1155"/>
      <c r="P61" s="1155"/>
    </row>
    <row r="62" spans="1:16" ht="15">
      <c r="A62" s="1102" t="s">
        <v>1149</v>
      </c>
      <c r="B62" s="1279" t="s">
        <v>1208</v>
      </c>
      <c r="C62" s="1279"/>
      <c r="D62" s="1279"/>
      <c r="E62" s="1279"/>
      <c r="F62" s="1279"/>
      <c r="G62" s="1279"/>
      <c r="H62" s="1279"/>
      <c r="I62" s="1279"/>
      <c r="J62" s="1106"/>
      <c r="K62" s="1106"/>
      <c r="L62" s="1106"/>
      <c r="M62" s="1106"/>
      <c r="N62" s="1106"/>
      <c r="O62" s="1155"/>
      <c r="P62" s="1155"/>
    </row>
    <row r="63" spans="1:16" ht="15.75">
      <c r="A63" s="1141"/>
      <c r="B63" s="1279"/>
      <c r="C63" s="1279"/>
      <c r="D63" s="1279"/>
      <c r="E63" s="1279"/>
      <c r="F63" s="1279"/>
      <c r="G63" s="1279"/>
      <c r="H63" s="1279"/>
      <c r="I63" s="1279"/>
      <c r="J63" s="1106"/>
      <c r="K63" s="1106"/>
      <c r="L63" s="1106"/>
      <c r="M63" s="1106"/>
      <c r="N63" s="1106"/>
      <c r="O63" s="1155"/>
      <c r="P63" s="1155"/>
    </row>
    <row r="64" spans="1:16" ht="15">
      <c r="A64" s="1103"/>
      <c r="B64" s="1155"/>
      <c r="C64" s="1155"/>
      <c r="D64" s="1155"/>
      <c r="E64" s="1155"/>
      <c r="F64" s="1155"/>
      <c r="G64" s="1155"/>
      <c r="H64" s="1155"/>
      <c r="I64" s="1155"/>
      <c r="J64" s="1106"/>
      <c r="K64" s="1106"/>
      <c r="L64" s="1106"/>
      <c r="M64" s="1106"/>
      <c r="N64" s="1106"/>
      <c r="O64" s="1155"/>
      <c r="P64" s="1155"/>
    </row>
    <row r="65" spans="1:16" ht="15">
      <c r="A65" s="1103" t="s">
        <v>1151</v>
      </c>
      <c r="B65" s="1275" t="s">
        <v>1209</v>
      </c>
      <c r="C65" s="1275"/>
      <c r="D65" s="1275"/>
      <c r="E65" s="1275"/>
      <c r="F65" s="1275"/>
      <c r="G65" s="1155"/>
      <c r="H65" s="1155"/>
      <c r="I65" s="1155"/>
      <c r="J65" s="1106"/>
      <c r="K65" s="1106"/>
      <c r="L65" s="1106"/>
      <c r="M65" s="1106"/>
      <c r="N65" s="1106"/>
      <c r="O65" s="1155"/>
      <c r="P65" s="1155"/>
    </row>
    <row r="66" spans="1:16" ht="15">
      <c r="A66" s="1155"/>
      <c r="B66" s="1275"/>
      <c r="C66" s="1275"/>
      <c r="D66" s="1275"/>
      <c r="E66" s="1275"/>
      <c r="F66" s="1275"/>
      <c r="G66" s="1155"/>
      <c r="H66" s="1155"/>
      <c r="I66" s="1155"/>
      <c r="J66" s="1106"/>
      <c r="K66" s="1106"/>
      <c r="L66" s="1106"/>
      <c r="M66" s="1106"/>
      <c r="N66" s="1106"/>
      <c r="O66" s="1155"/>
      <c r="P66" s="1155"/>
    </row>
    <row r="67" spans="1:16" ht="15">
      <c r="A67" s="1103"/>
      <c r="B67" s="1155"/>
      <c r="C67" s="1155"/>
      <c r="D67" s="1155"/>
      <c r="E67" s="1155"/>
      <c r="F67" s="1155"/>
      <c r="G67" s="1155"/>
      <c r="H67" s="1155"/>
      <c r="I67" s="1155"/>
      <c r="J67" s="1106"/>
      <c r="K67" s="1106"/>
      <c r="L67" s="1106"/>
      <c r="M67" s="1106"/>
      <c r="N67" s="1106"/>
      <c r="O67" s="1155"/>
      <c r="P67" s="1155"/>
    </row>
    <row r="68" spans="1:16" ht="15">
      <c r="A68" s="1103"/>
      <c r="B68" s="1155"/>
      <c r="C68" s="1155"/>
      <c r="D68" s="1155"/>
      <c r="E68" s="1155"/>
      <c r="F68" s="1155"/>
      <c r="G68" s="1155"/>
      <c r="H68" s="1155"/>
      <c r="I68" s="1155"/>
      <c r="J68" s="1106"/>
      <c r="K68" s="1106"/>
      <c r="L68" s="1106"/>
      <c r="M68" s="1106"/>
      <c r="N68" s="1106"/>
      <c r="O68" s="1155"/>
      <c r="P68" s="1155"/>
    </row>
    <row r="69" spans="1:16" ht="15">
      <c r="A69" s="1155"/>
      <c r="B69" s="1155"/>
      <c r="C69" s="1155"/>
      <c r="D69" s="1155"/>
      <c r="E69" s="1142"/>
      <c r="F69" s="1155"/>
      <c r="G69" s="1155"/>
      <c r="H69" s="1155"/>
      <c r="I69" s="1106"/>
      <c r="J69" s="1106"/>
      <c r="K69" s="1106"/>
      <c r="L69" s="1106"/>
      <c r="M69" s="1155"/>
      <c r="N69" s="1155"/>
      <c r="O69" s="1155"/>
      <c r="P69" s="1155"/>
    </row>
    <row r="70" spans="1:16" ht="15">
      <c r="A70" s="1155"/>
      <c r="B70" s="1155"/>
      <c r="C70" s="1155"/>
      <c r="D70" s="1155"/>
      <c r="E70" s="1155"/>
      <c r="F70" s="1155"/>
      <c r="G70" s="1143"/>
      <c r="H70" s="1143"/>
      <c r="I70" s="1106"/>
      <c r="J70" s="1106"/>
      <c r="K70" s="1106"/>
      <c r="L70" s="1106"/>
      <c r="M70" s="1155"/>
      <c r="N70" s="1155"/>
      <c r="O70" s="1155"/>
      <c r="P70" s="1155"/>
    </row>
    <row r="71" spans="1:16" ht="15">
      <c r="A71" s="1155"/>
      <c r="B71" s="1155"/>
      <c r="C71" s="1155"/>
      <c r="D71" s="1155"/>
      <c r="E71" s="1155"/>
      <c r="F71" s="1155"/>
      <c r="G71" s="1143"/>
      <c r="H71" s="1143"/>
      <c r="I71" s="1106"/>
      <c r="J71" s="1155"/>
      <c r="K71" s="1155"/>
      <c r="L71" s="1155"/>
      <c r="M71" s="1155"/>
      <c r="N71" s="1155"/>
      <c r="O71" s="1155"/>
      <c r="P71" s="1155"/>
    </row>
    <row r="72" spans="1:16" ht="15">
      <c r="A72" s="1155"/>
      <c r="B72" s="1155"/>
      <c r="C72" s="1155"/>
      <c r="D72" s="1155"/>
      <c r="E72" s="1155"/>
      <c r="F72" s="1155"/>
      <c r="G72" s="1155"/>
      <c r="H72" s="1155"/>
      <c r="I72" s="1155"/>
      <c r="J72" s="1155"/>
      <c r="K72" s="1155"/>
      <c r="L72" s="1155"/>
      <c r="M72" s="1155"/>
      <c r="N72" s="1155"/>
      <c r="O72" s="1155"/>
      <c r="P72" s="1155"/>
    </row>
    <row r="75" spans="1:16" ht="15.75">
      <c r="A75" s="1141"/>
      <c r="B75" s="1113"/>
      <c r="C75" s="1113"/>
      <c r="D75" s="1164"/>
      <c r="E75" s="1113"/>
      <c r="F75" s="1113"/>
      <c r="G75" s="1113"/>
      <c r="H75" s="1113"/>
      <c r="I75" s="1113"/>
      <c r="J75" s="1113"/>
      <c r="K75" s="1113"/>
      <c r="L75" s="1113"/>
      <c r="M75" s="1113"/>
      <c r="N75" s="1113"/>
      <c r="O75" s="1113"/>
      <c r="P75" s="1155"/>
    </row>
    <row r="76" spans="1:16" ht="15.75">
      <c r="A76" s="1141"/>
      <c r="B76" s="1113"/>
      <c r="C76" s="1113"/>
      <c r="D76" s="1164"/>
      <c r="E76" s="1113"/>
      <c r="F76" s="1113"/>
      <c r="G76" s="1113"/>
      <c r="H76" s="1113"/>
      <c r="I76" s="1113"/>
      <c r="J76" s="1113"/>
      <c r="K76" s="1113"/>
      <c r="L76" s="1113"/>
      <c r="M76" s="1113"/>
      <c r="N76" s="1113"/>
      <c r="O76" s="1113"/>
      <c r="P76" s="1155"/>
    </row>
    <row r="77" spans="1:16" ht="15.75">
      <c r="A77" s="1141"/>
      <c r="B77" s="1113"/>
      <c r="C77" s="1113"/>
      <c r="D77" s="1164"/>
      <c r="E77" s="1113"/>
      <c r="F77" s="1113"/>
      <c r="G77" s="1113"/>
      <c r="H77" s="1113"/>
      <c r="I77" s="1113"/>
      <c r="J77" s="1113"/>
      <c r="K77" s="1113"/>
      <c r="L77" s="1113"/>
      <c r="M77" s="1113"/>
      <c r="N77" s="1113"/>
      <c r="O77" s="1113"/>
      <c r="P77" s="1155"/>
    </row>
    <row r="78" spans="1:16" ht="15">
      <c r="A78" s="1141"/>
      <c r="B78" s="1113"/>
      <c r="C78" s="1113"/>
      <c r="D78" s="1164"/>
      <c r="E78" s="1113"/>
      <c r="F78" s="1113"/>
      <c r="G78" s="1113"/>
      <c r="H78" s="1113"/>
      <c r="I78" s="1113"/>
      <c r="J78" s="1113"/>
      <c r="K78" s="1113"/>
      <c r="L78" s="1113"/>
      <c r="M78" s="1113"/>
      <c r="N78" s="1113"/>
      <c r="O78" s="1113"/>
      <c r="P78" s="1106"/>
    </row>
    <row r="79" spans="1:16" ht="15">
      <c r="A79" s="1141"/>
      <c r="B79" s="1113"/>
      <c r="C79" s="1113"/>
      <c r="D79" s="1164"/>
      <c r="E79" s="1113"/>
      <c r="F79" s="1113"/>
      <c r="G79" s="1113"/>
      <c r="H79" s="1113"/>
      <c r="I79" s="1113"/>
      <c r="J79" s="1113"/>
      <c r="K79" s="1113"/>
      <c r="L79" s="1113"/>
      <c r="M79" s="1113"/>
      <c r="N79" s="1113"/>
      <c r="O79" s="1113"/>
      <c r="P79" s="1106"/>
    </row>
    <row r="80" spans="1:16" ht="15">
      <c r="A80" s="1141"/>
      <c r="B80" s="1113"/>
      <c r="C80" s="1113"/>
      <c r="D80" s="1164"/>
      <c r="E80" s="1113"/>
      <c r="F80" s="1113"/>
      <c r="G80" s="1113"/>
      <c r="H80" s="1113"/>
      <c r="I80" s="1113"/>
      <c r="J80" s="1113"/>
      <c r="K80" s="1113"/>
      <c r="L80" s="1113"/>
      <c r="M80" s="1113"/>
      <c r="N80" s="1113"/>
      <c r="O80" s="1113"/>
      <c r="P80" s="1106"/>
    </row>
    <row r="81" spans="1:16" ht="15">
      <c r="A81" s="1141"/>
      <c r="B81" s="1113"/>
      <c r="C81" s="1113"/>
      <c r="D81" s="1164"/>
      <c r="E81" s="1113"/>
      <c r="F81" s="1113"/>
      <c r="G81" s="1113"/>
      <c r="H81" s="1113"/>
      <c r="I81" s="1113"/>
      <c r="J81" s="1113"/>
      <c r="K81" s="1113"/>
      <c r="L81" s="1113"/>
      <c r="M81" s="1113"/>
      <c r="N81" s="1113"/>
      <c r="O81" s="1113"/>
      <c r="P81" s="1106"/>
    </row>
    <row r="82" spans="1:16" ht="15">
      <c r="A82" s="1141"/>
      <c r="B82" s="1113"/>
      <c r="C82" s="1113"/>
      <c r="D82" s="1164"/>
      <c r="E82" s="1113"/>
      <c r="F82" s="1113"/>
      <c r="G82" s="1113"/>
      <c r="H82" s="1113"/>
      <c r="I82" s="1113"/>
      <c r="J82" s="1113"/>
      <c r="K82" s="1113"/>
      <c r="L82" s="1113"/>
      <c r="M82" s="1113"/>
      <c r="N82" s="1113"/>
      <c r="O82" s="1113"/>
      <c r="P82" s="1106"/>
    </row>
    <row r="83" spans="1:16" ht="15">
      <c r="A83" s="1141"/>
      <c r="B83" s="1113"/>
      <c r="C83" s="1113"/>
      <c r="D83" s="1164"/>
      <c r="E83" s="1113"/>
      <c r="F83" s="1113"/>
      <c r="G83" s="1113"/>
      <c r="H83" s="1113"/>
      <c r="I83" s="1113"/>
      <c r="J83" s="1113"/>
      <c r="K83" s="1113"/>
      <c r="L83" s="1113"/>
      <c r="M83" s="1113"/>
      <c r="N83" s="1113"/>
      <c r="O83" s="1113"/>
      <c r="P83" s="1106"/>
    </row>
    <row r="84" spans="1:16" ht="15">
      <c r="A84" s="1141"/>
      <c r="B84" s="1113"/>
      <c r="C84" s="1113"/>
      <c r="D84" s="1164"/>
      <c r="E84" s="1113"/>
      <c r="F84" s="1113"/>
      <c r="G84" s="1113"/>
      <c r="H84" s="1113"/>
      <c r="I84" s="1113"/>
      <c r="J84" s="1113"/>
      <c r="K84" s="1113"/>
      <c r="L84" s="1113"/>
      <c r="M84" s="1113"/>
      <c r="N84" s="1113"/>
      <c r="O84" s="1113"/>
      <c r="P84" s="1106"/>
    </row>
    <row r="85" spans="1:16" ht="15">
      <c r="A85" s="1141"/>
      <c r="B85" s="1113"/>
      <c r="C85" s="1113"/>
      <c r="D85" s="1164"/>
      <c r="E85" s="1113"/>
      <c r="F85" s="1113"/>
      <c r="G85" s="1113"/>
      <c r="H85" s="1113"/>
      <c r="I85" s="1113"/>
      <c r="J85" s="1113"/>
      <c r="K85" s="1113"/>
      <c r="L85" s="1113"/>
      <c r="M85" s="1113"/>
      <c r="N85" s="1113"/>
      <c r="O85" s="1113"/>
      <c r="P85" s="1106"/>
    </row>
    <row r="86" spans="1:16" ht="15">
      <c r="A86" s="1141"/>
      <c r="B86" s="1113"/>
      <c r="C86" s="1113"/>
      <c r="D86" s="1164"/>
      <c r="E86" s="1113"/>
      <c r="F86" s="1113"/>
      <c r="G86" s="1113"/>
      <c r="H86" s="1113"/>
      <c r="I86" s="1113"/>
      <c r="J86" s="1113"/>
      <c r="K86" s="1113"/>
      <c r="L86" s="1113"/>
      <c r="M86" s="1113"/>
      <c r="N86" s="1113"/>
      <c r="O86" s="1113"/>
      <c r="P86" s="1106"/>
    </row>
    <row r="87" spans="1:16" ht="15.75">
      <c r="A87" s="1141"/>
      <c r="B87" s="1113"/>
      <c r="C87" s="1113"/>
      <c r="D87" s="1164"/>
      <c r="E87" s="1113"/>
      <c r="F87" s="1113"/>
      <c r="G87" s="1113"/>
      <c r="H87" s="1113"/>
      <c r="I87" s="1113"/>
      <c r="J87" s="1113"/>
      <c r="K87" s="1113"/>
      <c r="L87" s="1113"/>
      <c r="M87" s="1113"/>
      <c r="N87" s="1113"/>
      <c r="O87" s="1113"/>
      <c r="P87" s="1155"/>
    </row>
  </sheetData>
  <mergeCells count="7">
    <mergeCell ref="B62:I63"/>
    <mergeCell ref="B65:F66"/>
    <mergeCell ref="A7:N7"/>
    <mergeCell ref="Q9:Q10"/>
    <mergeCell ref="A50:H53"/>
    <mergeCell ref="B55:H57"/>
    <mergeCell ref="B59:H60"/>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O142"/>
  <sheetViews>
    <sheetView tabSelected="1" view="pageBreakPreview" topLeftCell="A19" zoomScaleNormal="85" zoomScaleSheetLayoutView="100" workbookViewId="0">
      <selection activeCell="F7" sqref="F7"/>
    </sheetView>
  </sheetViews>
  <sheetFormatPr defaultColWidth="11.42578125" defaultRowHeight="12.75"/>
  <cols>
    <col min="1" max="1" width="8.140625" style="54" customWidth="1"/>
    <col min="2" max="2" width="16.5703125" style="53" bestFit="1" customWidth="1"/>
    <col min="3" max="3" width="44.140625" style="53" customWidth="1"/>
    <col min="4" max="4" width="29.5703125" style="53" customWidth="1"/>
    <col min="5" max="5" width="24.42578125" style="53" customWidth="1"/>
    <col min="6" max="6" width="1" style="53" customWidth="1"/>
    <col min="7" max="7" width="20.85546875" style="53" customWidth="1"/>
    <col min="8" max="8" width="1" style="53" customWidth="1"/>
    <col min="9" max="9" width="19.140625" style="53" customWidth="1"/>
    <col min="10" max="10" width="16.5703125" style="53" customWidth="1"/>
    <col min="11" max="11" width="15.42578125" style="53" customWidth="1"/>
    <col min="12" max="12" width="33.5703125" style="53" customWidth="1"/>
    <col min="13" max="14" width="13.42578125" style="53" customWidth="1"/>
    <col min="15" max="15" width="13.5703125" style="53" customWidth="1"/>
    <col min="16" max="16384" width="11.42578125" style="53"/>
  </cols>
  <sheetData>
    <row r="1" spans="1:15" ht="15.75">
      <c r="A1" s="665" t="s">
        <v>114</v>
      </c>
    </row>
    <row r="2" spans="1:15" ht="15.75">
      <c r="A2" s="665" t="s">
        <v>114</v>
      </c>
    </row>
    <row r="3" spans="1:15" ht="15">
      <c r="A3" s="1257" t="str">
        <f>+'WS B ADIT &amp; ITC'!A3:I3</f>
        <v>AEP East Companies</v>
      </c>
      <c r="B3" s="1257"/>
      <c r="C3" s="1257"/>
      <c r="D3" s="1257"/>
      <c r="E3" s="1257"/>
      <c r="F3" s="1257"/>
      <c r="G3" s="1257"/>
      <c r="H3" s="1257"/>
      <c r="I3" s="1257"/>
      <c r="J3" s="1257"/>
      <c r="K3" s="1257"/>
      <c r="L3" s="1257"/>
      <c r="M3" s="28"/>
      <c r="N3" s="28"/>
      <c r="O3" s="28"/>
    </row>
    <row r="4" spans="1:15" ht="15">
      <c r="A4" s="1258" t="str">
        <f>"Cost of Service Formula Rate Using Actual/Projected FF1 Balances"</f>
        <v>Cost of Service Formula Rate Using Actual/Projected FF1 Balances</v>
      </c>
      <c r="B4" s="1258"/>
      <c r="C4" s="1258"/>
      <c r="D4" s="1258"/>
      <c r="E4" s="1258"/>
      <c r="F4" s="1258"/>
      <c r="G4" s="1258"/>
      <c r="H4" s="1258"/>
      <c r="I4" s="1258"/>
      <c r="J4" s="1258"/>
      <c r="K4" s="1258"/>
      <c r="L4" s="1258"/>
      <c r="M4" s="74"/>
      <c r="N4" s="74"/>
      <c r="O4" s="74"/>
    </row>
    <row r="5" spans="1:15" ht="15">
      <c r="A5" s="1258" t="s">
        <v>495</v>
      </c>
      <c r="B5" s="1258"/>
      <c r="C5" s="1258"/>
      <c r="D5" s="1258"/>
      <c r="E5" s="1258"/>
      <c r="F5" s="1258"/>
      <c r="G5" s="1258"/>
      <c r="H5" s="1258"/>
      <c r="I5" s="1258"/>
      <c r="J5" s="1258"/>
      <c r="K5" s="1258"/>
      <c r="L5" s="1258"/>
      <c r="M5" s="73"/>
      <c r="N5" s="73"/>
      <c r="O5" s="73"/>
    </row>
    <row r="6" spans="1:15" ht="15">
      <c r="A6" s="1263" t="str">
        <f>TCOS!F9</f>
        <v>Appalachian Power Company</v>
      </c>
      <c r="B6" s="1263"/>
      <c r="C6" s="1263"/>
      <c r="D6" s="1263"/>
      <c r="E6" s="1263"/>
      <c r="F6" s="1263"/>
      <c r="G6" s="1263"/>
      <c r="H6" s="1263"/>
      <c r="I6" s="1263"/>
      <c r="J6" s="1263"/>
      <c r="K6" s="1263"/>
      <c r="L6" s="1263"/>
      <c r="M6" s="3"/>
      <c r="N6" s="3"/>
      <c r="O6" s="3"/>
    </row>
    <row r="7" spans="1:15" ht="15">
      <c r="A7" s="3"/>
      <c r="B7" s="3"/>
      <c r="C7" s="3"/>
      <c r="D7" s="3"/>
      <c r="E7" s="3"/>
      <c r="F7" s="3"/>
      <c r="G7" s="3"/>
      <c r="H7"/>
    </row>
    <row r="8" spans="1:15" ht="12.75" customHeight="1">
      <c r="A8" s="62"/>
      <c r="B8" s="62" t="s">
        <v>162</v>
      </c>
      <c r="C8" s="62" t="s">
        <v>163</v>
      </c>
      <c r="D8" s="62" t="s">
        <v>4</v>
      </c>
      <c r="E8" s="62" t="s">
        <v>165</v>
      </c>
      <c r="F8" s="62"/>
      <c r="G8" s="62" t="s">
        <v>84</v>
      </c>
      <c r="H8" s="62"/>
      <c r="I8" s="62" t="s">
        <v>85</v>
      </c>
      <c r="J8" s="62" t="s">
        <v>86</v>
      </c>
      <c r="K8" s="62" t="s">
        <v>91</v>
      </c>
      <c r="L8" s="62" t="s">
        <v>500</v>
      </c>
      <c r="M8" s="62"/>
      <c r="N8" s="62"/>
      <c r="O8" s="62"/>
    </row>
    <row r="9" spans="1:15">
      <c r="A9" s="52"/>
    </row>
    <row r="10" spans="1:15" ht="18">
      <c r="A10" s="56"/>
      <c r="B10" s="1281" t="s">
        <v>207</v>
      </c>
      <c r="C10" s="1281"/>
      <c r="D10" s="1281"/>
      <c r="E10" s="1281"/>
      <c r="F10" s="1281"/>
      <c r="G10" s="1281"/>
      <c r="H10" s="1281"/>
      <c r="I10" s="1281"/>
      <c r="J10" s="1281"/>
      <c r="K10" s="1281"/>
    </row>
    <row r="11" spans="1:15">
      <c r="A11" s="56"/>
      <c r="I11"/>
      <c r="J11"/>
    </row>
    <row r="12" spans="1:15" ht="12.75" customHeight="1">
      <c r="A12" s="9" t="s">
        <v>169</v>
      </c>
      <c r="B12" s="56"/>
      <c r="C12" s="61"/>
      <c r="D12" s="154"/>
      <c r="E12" s="1261" t="str">
        <f>"Balance @ December 31, "&amp;TCOS!L4&amp;""</f>
        <v>Balance @ December 31, 2025</v>
      </c>
      <c r="F12" s="154"/>
      <c r="G12" s="1261" t="str">
        <f>"Balance @ December 31, "&amp;TCOS!L4-1&amp;""</f>
        <v>Balance @ December 31, 2024</v>
      </c>
      <c r="H12" s="199"/>
      <c r="I12" s="1264" t="str">
        <f>"Average Balance for "&amp;TCOS!L4&amp;""</f>
        <v>Average Balance for 2025</v>
      </c>
      <c r="J12" s="4"/>
      <c r="L12" s="62"/>
    </row>
    <row r="13" spans="1:15">
      <c r="A13" s="9" t="s">
        <v>106</v>
      </c>
      <c r="B13" s="54"/>
      <c r="C13" s="56"/>
      <c r="D13" s="155" t="s">
        <v>206</v>
      </c>
      <c r="E13" s="1262"/>
      <c r="F13" s="156"/>
      <c r="G13" s="1262"/>
      <c r="H13" s="157"/>
      <c r="I13" s="1262"/>
      <c r="J13" s="4"/>
      <c r="K13" s="63"/>
      <c r="L13" s="64"/>
      <c r="M13" s="57"/>
      <c r="N13" s="57"/>
    </row>
    <row r="14" spans="1:15">
      <c r="B14" s="54"/>
      <c r="C14" s="56"/>
      <c r="D14" s="60"/>
      <c r="E14" s="55"/>
      <c r="F14" s="55"/>
      <c r="G14" s="174"/>
      <c r="H14" s="59"/>
      <c r="J14"/>
      <c r="K14" s="63"/>
      <c r="L14" s="64"/>
      <c r="M14" s="57"/>
      <c r="N14" s="57"/>
    </row>
    <row r="15" spans="1:15">
      <c r="A15" s="54">
        <v>1</v>
      </c>
      <c r="B15" s="54"/>
      <c r="D15" s="48"/>
      <c r="E15" s="15"/>
      <c r="F15" s="15"/>
      <c r="G15" s="15"/>
      <c r="H15" s="15"/>
      <c r="I15" s="15"/>
      <c r="K15" s="15"/>
      <c r="L15" s="15"/>
      <c r="M15" s="57"/>
      <c r="N15" s="57"/>
    </row>
    <row r="16" spans="1:15">
      <c r="B16" s="54"/>
      <c r="C16" s="48"/>
      <c r="D16" s="48"/>
      <c r="E16" s="15"/>
      <c r="F16" s="15"/>
      <c r="G16" s="15"/>
      <c r="H16" s="15"/>
      <c r="I16" s="15"/>
      <c r="K16" s="15"/>
      <c r="L16" s="15"/>
      <c r="M16" s="57"/>
      <c r="N16" s="57"/>
    </row>
    <row r="17" spans="1:14">
      <c r="A17" s="54">
        <f>+A15+1</f>
        <v>2</v>
      </c>
      <c r="B17" s="54"/>
      <c r="C17" s="48" t="s">
        <v>526</v>
      </c>
      <c r="D17" s="58" t="s">
        <v>435</v>
      </c>
      <c r="E17" s="623">
        <v>312219</v>
      </c>
      <c r="F17" s="15"/>
      <c r="G17" s="623">
        <v>87321</v>
      </c>
      <c r="H17" s="15"/>
      <c r="I17" s="104">
        <f>IF(G17="",0,(E17+G17)/2)</f>
        <v>199770</v>
      </c>
      <c r="J17"/>
      <c r="K17" s="104"/>
      <c r="L17" s="15"/>
      <c r="M17" s="57"/>
      <c r="N17" s="57"/>
    </row>
    <row r="18" spans="1:14">
      <c r="B18" s="54"/>
      <c r="C18" s="48"/>
      <c r="D18"/>
      <c r="E18"/>
      <c r="F18"/>
      <c r="G18"/>
      <c r="H18"/>
      <c r="I18" s="4"/>
      <c r="J18"/>
      <c r="K18"/>
      <c r="L18" s="15"/>
      <c r="M18" s="57"/>
      <c r="N18" s="57"/>
    </row>
    <row r="19" spans="1:14">
      <c r="A19" s="1205" t="s">
        <v>1036</v>
      </c>
      <c r="B19" s="1205"/>
      <c r="C19" s="1206" t="s">
        <v>1436</v>
      </c>
      <c r="D19" s="1207" t="s">
        <v>1437</v>
      </c>
      <c r="E19" s="1208"/>
      <c r="F19" s="111"/>
      <c r="G19" s="1208"/>
      <c r="H19" s="198"/>
      <c r="I19" s="1209">
        <f>IF(G19="",0,(E19+G19)/2)</f>
        <v>0</v>
      </c>
      <c r="J19"/>
      <c r="K19"/>
      <c r="L19" s="15"/>
      <c r="M19" s="57"/>
      <c r="N19" s="57"/>
    </row>
    <row r="20" spans="1:14">
      <c r="B20" s="54"/>
      <c r="C20" s="48"/>
      <c r="D20"/>
      <c r="E20"/>
      <c r="F20"/>
      <c r="G20"/>
      <c r="H20"/>
      <c r="I20" s="4"/>
      <c r="J20"/>
      <c r="K20"/>
      <c r="L20" s="15"/>
      <c r="M20" s="57"/>
      <c r="N20" s="57"/>
    </row>
    <row r="21" spans="1:14">
      <c r="A21" s="54">
        <f>+A17+1</f>
        <v>3</v>
      </c>
      <c r="B21" s="54"/>
      <c r="C21" s="48" t="s">
        <v>528</v>
      </c>
      <c r="D21" s="58" t="s">
        <v>436</v>
      </c>
      <c r="E21" s="623">
        <v>410451</v>
      </c>
      <c r="F21" s="15"/>
      <c r="G21" s="623">
        <v>357654</v>
      </c>
      <c r="H21" s="59"/>
      <c r="I21" s="104">
        <f>IF(G21="",0,(E21+G21)/2)</f>
        <v>384052.5</v>
      </c>
      <c r="J21"/>
      <c r="K21" s="63"/>
      <c r="L21" s="64"/>
      <c r="M21" s="57"/>
      <c r="N21" s="57"/>
    </row>
    <row r="22" spans="1:14">
      <c r="B22" s="54"/>
      <c r="C22" s="48"/>
      <c r="D22" s="58"/>
      <c r="E22"/>
      <c r="F22"/>
      <c r="G22"/>
      <c r="H22"/>
      <c r="I22"/>
      <c r="J22"/>
      <c r="K22" s="63"/>
      <c r="L22" s="64"/>
      <c r="M22" s="57"/>
      <c r="N22" s="57"/>
    </row>
    <row r="23" spans="1:14">
      <c r="A23" s="54">
        <f>+A21+1</f>
        <v>4</v>
      </c>
      <c r="B23" s="54"/>
      <c r="C23" s="48" t="s">
        <v>758</v>
      </c>
      <c r="D23" s="58" t="s">
        <v>437</v>
      </c>
      <c r="E23" s="623"/>
      <c r="F23" s="15"/>
      <c r="G23" s="623"/>
      <c r="H23" s="59"/>
      <c r="I23" s="104">
        <f>IF(G23="",0,(E23+G23)/2)</f>
        <v>0</v>
      </c>
      <c r="J23"/>
      <c r="K23" s="63"/>
      <c r="L23" s="64"/>
      <c r="M23" s="57"/>
      <c r="N23" s="57"/>
    </row>
    <row r="24" spans="1:14">
      <c r="B24" s="54"/>
      <c r="C24" s="56"/>
      <c r="D24" s="60"/>
      <c r="E24" s="55"/>
      <c r="F24" s="55"/>
      <c r="H24" s="59"/>
      <c r="J24"/>
      <c r="K24" s="63"/>
      <c r="L24" s="64"/>
      <c r="M24" s="57"/>
      <c r="N24" s="57"/>
    </row>
    <row r="25" spans="1:14">
      <c r="A25" s="145"/>
      <c r="B25" s="145"/>
      <c r="C25" s="146"/>
      <c r="D25" s="147"/>
      <c r="E25" s="148"/>
      <c r="F25" s="148"/>
      <c r="G25" s="149"/>
      <c r="H25" s="150"/>
      <c r="I25" s="149"/>
      <c r="J25" s="151"/>
      <c r="K25" s="152"/>
      <c r="L25" s="153"/>
      <c r="M25" s="57"/>
      <c r="N25" s="57"/>
    </row>
    <row r="26" spans="1:14" ht="18">
      <c r="B26" s="1281" t="s">
        <v>757</v>
      </c>
      <c r="C26" s="1281"/>
      <c r="D26" s="1281"/>
      <c r="E26" s="1281"/>
      <c r="F26" s="1281"/>
      <c r="G26" s="1281"/>
      <c r="H26" s="1281"/>
      <c r="I26" s="1281"/>
      <c r="J26" s="1281"/>
      <c r="K26" s="1281"/>
      <c r="L26" s="64"/>
      <c r="M26" s="57"/>
      <c r="N26" s="57"/>
    </row>
    <row r="27" spans="1:14" ht="12.75" customHeight="1">
      <c r="B27" s="115"/>
      <c r="C27" s="56"/>
      <c r="D27" s="15"/>
      <c r="E27" s="7"/>
      <c r="G27" s="7" t="s">
        <v>87</v>
      </c>
      <c r="I27" s="5" t="s">
        <v>115</v>
      </c>
      <c r="J27" s="5" t="s">
        <v>115</v>
      </c>
      <c r="K27" s="5" t="s">
        <v>179</v>
      </c>
      <c r="L27" s="64"/>
      <c r="M27" s="57"/>
      <c r="N27" s="57"/>
    </row>
    <row r="28" spans="1:14" ht="12.75" customHeight="1">
      <c r="B28" s="115"/>
      <c r="C28" s="56"/>
      <c r="D28" s="113" t="s">
        <v>501</v>
      </c>
      <c r="E28" s="5" t="s">
        <v>530</v>
      </c>
      <c r="G28" s="5" t="s">
        <v>115</v>
      </c>
      <c r="I28" s="5" t="s">
        <v>523</v>
      </c>
      <c r="J28" s="5" t="s">
        <v>161</v>
      </c>
      <c r="K28" s="5" t="s">
        <v>180</v>
      </c>
      <c r="L28" s="64"/>
      <c r="M28" s="57"/>
      <c r="N28" s="57"/>
    </row>
    <row r="29" spans="1:14" ht="12.75" customHeight="1">
      <c r="A29" s="54">
        <f>+A23+1</f>
        <v>5</v>
      </c>
      <c r="B29" s="115"/>
      <c r="C29" s="56"/>
      <c r="D29" s="9" t="s">
        <v>88</v>
      </c>
      <c r="E29" s="9" t="s">
        <v>502</v>
      </c>
      <c r="G29" s="9" t="s">
        <v>524</v>
      </c>
      <c r="I29" s="9" t="s">
        <v>524</v>
      </c>
      <c r="J29" s="9" t="s">
        <v>524</v>
      </c>
      <c r="K29" s="9" t="s">
        <v>525</v>
      </c>
      <c r="L29" s="64"/>
      <c r="M29" s="57"/>
      <c r="N29" s="57"/>
    </row>
    <row r="30" spans="1:14">
      <c r="B30" s="54"/>
      <c r="C30" s="56"/>
      <c r="D30" s="60"/>
      <c r="E30" s="55"/>
      <c r="F30" s="55"/>
      <c r="H30" s="59"/>
      <c r="J30"/>
      <c r="K30" s="175"/>
      <c r="L30" s="64"/>
      <c r="M30" s="57"/>
      <c r="N30" s="57"/>
    </row>
    <row r="31" spans="1:14">
      <c r="A31" s="54">
        <f>+A29+1</f>
        <v>6</v>
      </c>
      <c r="B31" s="54"/>
      <c r="C31" s="53" t="str">
        <f>"Totals as of December 31, "&amp;TCOS!L4&amp;""</f>
        <v>Totals as of December 31, 2025</v>
      </c>
      <c r="D31" s="116">
        <f>ROUND(D63,0)</f>
        <v>45468576</v>
      </c>
      <c r="E31" s="182">
        <f>ROUND(E63,0)</f>
        <v>-280941090</v>
      </c>
      <c r="F31" s="117"/>
      <c r="G31" s="116">
        <f>ROUND(G63,0)</f>
        <v>0</v>
      </c>
      <c r="H31" s="59"/>
      <c r="I31" s="116">
        <f>ROUND(I63,0)</f>
        <v>6876993</v>
      </c>
      <c r="J31" s="118">
        <f>+J63</f>
        <v>319532672.23199999</v>
      </c>
      <c r="K31" s="116">
        <f>ROUND(K63,0)</f>
        <v>326409666</v>
      </c>
      <c r="L31" s="64"/>
      <c r="M31" s="57"/>
      <c r="N31" s="57"/>
    </row>
    <row r="32" spans="1:14">
      <c r="A32" s="54">
        <f>+A31+1</f>
        <v>7</v>
      </c>
      <c r="B32" s="54"/>
      <c r="C32" s="53" t="str">
        <f>"Totals as of December 31, "&amp;TCOS!L4-1&amp;""</f>
        <v>Totals as of December 31, 2024</v>
      </c>
      <c r="D32" s="121">
        <f>IF(D96="","",D96)</f>
        <v>47547833.670000009</v>
      </c>
      <c r="E32" s="183">
        <f>IF(E96="","",E96)</f>
        <v>-265306720.53</v>
      </c>
      <c r="F32" s="55"/>
      <c r="G32" s="121" t="str">
        <f>IF(G96="","",G96)</f>
        <v/>
      </c>
      <c r="H32" s="59"/>
      <c r="I32" s="121">
        <f>IF(I96="","",I96)</f>
        <v>6895577.1580000008</v>
      </c>
      <c r="J32" s="121">
        <f>IF(J96="","",J96)</f>
        <v>305958977.042</v>
      </c>
      <c r="K32" s="121">
        <f>IF(K96="","",K96)</f>
        <v>312854554.19999999</v>
      </c>
      <c r="L32" s="64"/>
      <c r="M32" s="57"/>
      <c r="N32" s="57"/>
    </row>
    <row r="33" spans="1:14" ht="13.5" thickBot="1">
      <c r="A33" s="54">
        <f>+A32+1</f>
        <v>8</v>
      </c>
      <c r="B33" s="54"/>
      <c r="C33" s="61" t="s">
        <v>213</v>
      </c>
      <c r="D33" s="122">
        <f>IF(D32="",0,(D31+D32)/2)</f>
        <v>46508204.835000008</v>
      </c>
      <c r="E33" s="122">
        <f>IF(E32="",0,(E31+E32)/2)</f>
        <v>-273123905.26499999</v>
      </c>
      <c r="F33" s="123"/>
      <c r="G33" s="122">
        <f>IF(G32="",0,(G31+G32)/2)</f>
        <v>0</v>
      </c>
      <c r="H33" s="71"/>
      <c r="I33" s="122">
        <f>IF(I32="",0,(I31+I32)/2)</f>
        <v>6886285.0789999999</v>
      </c>
      <c r="J33" s="122">
        <f>IF(J32="",0,(J31+J32)/2)</f>
        <v>312745824.63699996</v>
      </c>
      <c r="K33" s="122">
        <f>IF(K32="",0,(K31+K32)/2)</f>
        <v>319632110.10000002</v>
      </c>
      <c r="L33" s="64"/>
      <c r="M33" s="57"/>
      <c r="N33" s="57"/>
    </row>
    <row r="34" spans="1:14" ht="13.5" thickTop="1">
      <c r="B34" s="54"/>
      <c r="D34" s="60"/>
      <c r="E34" s="55"/>
      <c r="F34" s="55"/>
      <c r="H34" s="59"/>
      <c r="J34"/>
      <c r="K34" s="63"/>
      <c r="L34" s="64"/>
      <c r="M34" s="57"/>
      <c r="N34" s="57"/>
    </row>
    <row r="35" spans="1:14">
      <c r="A35" s="53"/>
      <c r="J35"/>
      <c r="K35" s="63"/>
      <c r="L35" s="64"/>
      <c r="M35" s="57"/>
      <c r="N35" s="57"/>
    </row>
    <row r="36" spans="1:14" ht="18">
      <c r="B36" s="1280" t="str">
        <f>"Prepayments Account 165 - Balance @ 12/31/"&amp;D38&amp;""</f>
        <v>Prepayments Account 165 - Balance @ 12/31/2025</v>
      </c>
      <c r="C36" s="1282"/>
      <c r="D36" s="1282"/>
      <c r="E36" s="1282"/>
      <c r="F36" s="1282"/>
      <c r="G36" s="1282"/>
      <c r="H36" s="1282"/>
      <c r="I36" s="1282"/>
      <c r="J36" s="1282"/>
      <c r="K36" s="63"/>
      <c r="L36" s="64"/>
      <c r="M36" s="57"/>
      <c r="N36" s="57"/>
    </row>
    <row r="37" spans="1:14">
      <c r="B37" s="109"/>
      <c r="C37" s="111"/>
      <c r="D37" s="15"/>
      <c r="E37" s="7"/>
      <c r="G37" s="7" t="s">
        <v>87</v>
      </c>
      <c r="I37" s="5" t="s">
        <v>115</v>
      </c>
      <c r="J37" s="5" t="s">
        <v>115</v>
      </c>
      <c r="K37" s="5" t="s">
        <v>179</v>
      </c>
      <c r="L37"/>
      <c r="M37" s="57"/>
      <c r="N37" s="57"/>
    </row>
    <row r="38" spans="1:14">
      <c r="B38" s="109"/>
      <c r="C38" s="112"/>
      <c r="D38" s="113" t="str">
        <f>""&amp;TCOS!L4</f>
        <v>2025</v>
      </c>
      <c r="E38" s="5" t="s">
        <v>530</v>
      </c>
      <c r="G38" s="5" t="s">
        <v>115</v>
      </c>
      <c r="I38" s="5" t="s">
        <v>523</v>
      </c>
      <c r="J38" s="5" t="s">
        <v>161</v>
      </c>
      <c r="K38" s="5" t="s">
        <v>180</v>
      </c>
      <c r="L38"/>
      <c r="M38" s="57"/>
      <c r="N38" s="57"/>
    </row>
    <row r="39" spans="1:14">
      <c r="A39" s="54">
        <f>+A33+1</f>
        <v>9</v>
      </c>
      <c r="B39" s="9" t="s">
        <v>90</v>
      </c>
      <c r="C39" s="9" t="s">
        <v>167</v>
      </c>
      <c r="D39" s="9" t="s">
        <v>88</v>
      </c>
      <c r="E39" s="9" t="s">
        <v>502</v>
      </c>
      <c r="G39" s="9" t="s">
        <v>524</v>
      </c>
      <c r="I39" s="9" t="s">
        <v>524</v>
      </c>
      <c r="J39" s="9" t="s">
        <v>524</v>
      </c>
      <c r="K39" s="9" t="s">
        <v>525</v>
      </c>
      <c r="L39" s="9" t="s">
        <v>39</v>
      </c>
      <c r="M39" s="57"/>
      <c r="N39" s="57"/>
    </row>
    <row r="40" spans="1:14">
      <c r="B40" s="109"/>
      <c r="C40" s="111"/>
      <c r="D40" s="111"/>
      <c r="E40" s="111"/>
      <c r="G40" s="111"/>
      <c r="I40" s="111"/>
      <c r="J40" s="111"/>
      <c r="K40" s="175"/>
      <c r="L40"/>
      <c r="M40" s="57"/>
      <c r="N40" s="57"/>
    </row>
    <row r="41" spans="1:14" ht="14.25">
      <c r="A41" s="54">
        <f>+A39+1</f>
        <v>10</v>
      </c>
      <c r="B41" s="624" t="s">
        <v>864</v>
      </c>
      <c r="C41" s="625" t="s">
        <v>865</v>
      </c>
      <c r="D41" s="626">
        <v>3532640.568</v>
      </c>
      <c r="E41" s="77">
        <f>+D41-K41</f>
        <v>0</v>
      </c>
      <c r="G41" s="81"/>
      <c r="I41" s="81">
        <f>D41</f>
        <v>3532640.568</v>
      </c>
      <c r="J41" s="81"/>
      <c r="K41" s="81">
        <f t="shared" ref="K41:K44" si="0">+G41+I41+J41</f>
        <v>3532640.568</v>
      </c>
      <c r="L41" t="s">
        <v>531</v>
      </c>
      <c r="M41" s="57"/>
      <c r="N41" s="57"/>
    </row>
    <row r="42" spans="1:14" ht="14.25">
      <c r="A42" s="54">
        <f t="shared" ref="A42:A62" si="1">+A41+1</f>
        <v>11</v>
      </c>
      <c r="B42" s="627" t="s">
        <v>1210</v>
      </c>
      <c r="C42" s="625" t="s">
        <v>866</v>
      </c>
      <c r="D42" s="626">
        <v>0</v>
      </c>
      <c r="E42" s="77">
        <f t="shared" ref="E42:E44" si="2">+D42-K42</f>
        <v>0</v>
      </c>
      <c r="G42" s="81"/>
      <c r="I42" s="81"/>
      <c r="J42" s="81"/>
      <c r="K42" s="81">
        <f t="shared" si="0"/>
        <v>0</v>
      </c>
      <c r="M42" s="57"/>
      <c r="N42" s="57"/>
    </row>
    <row r="43" spans="1:14" ht="14.25">
      <c r="A43" s="54">
        <f t="shared" si="1"/>
        <v>12</v>
      </c>
      <c r="B43" s="627" t="s">
        <v>1211</v>
      </c>
      <c r="C43" s="625" t="s">
        <v>866</v>
      </c>
      <c r="D43" s="626">
        <v>0</v>
      </c>
      <c r="E43" s="77">
        <f t="shared" si="2"/>
        <v>0</v>
      </c>
      <c r="G43" s="81"/>
      <c r="I43" s="81"/>
      <c r="J43" s="81"/>
      <c r="K43" s="81">
        <f t="shared" si="0"/>
        <v>0</v>
      </c>
      <c r="L43" s="53" t="s">
        <v>1063</v>
      </c>
      <c r="M43" s="57"/>
      <c r="N43" s="57"/>
    </row>
    <row r="44" spans="1:14" ht="14.25">
      <c r="A44" s="54">
        <f t="shared" si="1"/>
        <v>13</v>
      </c>
      <c r="B44" s="627" t="s">
        <v>1212</v>
      </c>
      <c r="C44" s="625" t="s">
        <v>866</v>
      </c>
      <c r="D44" s="626">
        <v>0</v>
      </c>
      <c r="E44" s="77">
        <f t="shared" si="2"/>
        <v>0</v>
      </c>
      <c r="G44" s="81"/>
      <c r="I44" s="81"/>
      <c r="J44" s="81"/>
      <c r="K44" s="81">
        <f t="shared" si="0"/>
        <v>0</v>
      </c>
      <c r="L44" s="53" t="s">
        <v>949</v>
      </c>
      <c r="M44" s="57"/>
      <c r="N44" s="57"/>
    </row>
    <row r="45" spans="1:14" ht="14.25">
      <c r="A45" s="54">
        <f t="shared" si="1"/>
        <v>14</v>
      </c>
      <c r="B45" s="986" t="s">
        <v>867</v>
      </c>
      <c r="C45" s="625" t="s">
        <v>868</v>
      </c>
      <c r="D45" s="626">
        <v>16112</v>
      </c>
      <c r="E45" s="77">
        <f t="shared" ref="E45:E51" si="3">+D45-K45</f>
        <v>16112</v>
      </c>
      <c r="G45" s="81"/>
      <c r="I45" s="81"/>
      <c r="J45" s="81"/>
      <c r="K45" s="81">
        <f t="shared" ref="K45:K51" si="4">+G45+I45+J45</f>
        <v>0</v>
      </c>
      <c r="L45" s="4" t="s">
        <v>868</v>
      </c>
      <c r="M45" s="57"/>
      <c r="N45" s="57"/>
    </row>
    <row r="46" spans="1:14" ht="14.25">
      <c r="A46" s="54">
        <f t="shared" si="1"/>
        <v>15</v>
      </c>
      <c r="B46" s="624" t="s">
        <v>869</v>
      </c>
      <c r="C46" s="625" t="s">
        <v>870</v>
      </c>
      <c r="D46" s="626">
        <v>1234392.7</v>
      </c>
      <c r="E46" s="77">
        <f t="shared" si="3"/>
        <v>1234392.7</v>
      </c>
      <c r="G46" s="106"/>
      <c r="I46" s="106"/>
      <c r="J46" s="106"/>
      <c r="K46" s="106">
        <f t="shared" si="4"/>
        <v>0</v>
      </c>
      <c r="L46" t="s">
        <v>958</v>
      </c>
      <c r="M46" s="57"/>
      <c r="N46" s="57"/>
    </row>
    <row r="47" spans="1:14" ht="14.25">
      <c r="A47" s="54">
        <f t="shared" si="1"/>
        <v>16</v>
      </c>
      <c r="B47" s="624" t="s">
        <v>871</v>
      </c>
      <c r="C47" s="625" t="s">
        <v>872</v>
      </c>
      <c r="D47" s="626">
        <v>530724.89</v>
      </c>
      <c r="E47" s="77">
        <f t="shared" si="3"/>
        <v>530724.89</v>
      </c>
      <c r="G47" s="81"/>
      <c r="I47" s="81"/>
      <c r="J47" s="81"/>
      <c r="K47" s="106">
        <f t="shared" si="4"/>
        <v>0</v>
      </c>
      <c r="L47" t="s">
        <v>889</v>
      </c>
      <c r="M47" s="57"/>
      <c r="N47" s="57"/>
    </row>
    <row r="48" spans="1:14" ht="14.25">
      <c r="A48" s="54">
        <f t="shared" si="1"/>
        <v>17</v>
      </c>
      <c r="B48" s="986" t="s">
        <v>947</v>
      </c>
      <c r="C48" s="625" t="s">
        <v>948</v>
      </c>
      <c r="D48" s="626">
        <v>0</v>
      </c>
      <c r="E48" s="77">
        <f t="shared" si="3"/>
        <v>0</v>
      </c>
      <c r="G48" s="81"/>
      <c r="I48" s="81"/>
      <c r="J48" s="81"/>
      <c r="K48" s="106">
        <f t="shared" si="4"/>
        <v>0</v>
      </c>
      <c r="L48" s="4" t="s">
        <v>950</v>
      </c>
      <c r="M48" s="57"/>
      <c r="N48" s="57"/>
    </row>
    <row r="49" spans="1:14" ht="14.25">
      <c r="A49" s="54">
        <f t="shared" si="1"/>
        <v>18</v>
      </c>
      <c r="B49" s="926" t="s">
        <v>873</v>
      </c>
      <c r="C49" s="625" t="s">
        <v>890</v>
      </c>
      <c r="D49" s="626">
        <v>143596558.75999999</v>
      </c>
      <c r="E49" s="77">
        <f t="shared" si="3"/>
        <v>0</v>
      </c>
      <c r="G49" s="81"/>
      <c r="I49" s="81"/>
      <c r="J49" s="81">
        <f>D49</f>
        <v>143596558.75999999</v>
      </c>
      <c r="K49" s="106">
        <f t="shared" si="4"/>
        <v>143596558.75999999</v>
      </c>
      <c r="L49" s="4" t="s">
        <v>959</v>
      </c>
      <c r="M49" s="57"/>
      <c r="N49" s="57"/>
    </row>
    <row r="50" spans="1:14" ht="14.25">
      <c r="A50" s="54">
        <f t="shared" si="1"/>
        <v>19</v>
      </c>
      <c r="B50" s="926" t="s">
        <v>875</v>
      </c>
      <c r="C50" s="625" t="s">
        <v>876</v>
      </c>
      <c r="D50" s="626">
        <v>-143596558.75999999</v>
      </c>
      <c r="E50" s="77">
        <f t="shared" si="3"/>
        <v>-143596558.75999999</v>
      </c>
      <c r="G50" s="106"/>
      <c r="I50" s="106"/>
      <c r="J50" s="106"/>
      <c r="K50" s="106">
        <f t="shared" si="4"/>
        <v>0</v>
      </c>
      <c r="L50" t="s">
        <v>960</v>
      </c>
      <c r="M50" s="57"/>
      <c r="N50" s="57"/>
    </row>
    <row r="51" spans="1:14" ht="14.25">
      <c r="A51" s="54">
        <f t="shared" si="1"/>
        <v>20</v>
      </c>
      <c r="B51" s="627">
        <v>165001225</v>
      </c>
      <c r="C51" s="625" t="s">
        <v>874</v>
      </c>
      <c r="D51" s="626">
        <v>31823</v>
      </c>
      <c r="E51" s="77">
        <f t="shared" si="3"/>
        <v>31823</v>
      </c>
      <c r="G51" s="106"/>
      <c r="I51" s="106"/>
      <c r="J51" s="106"/>
      <c r="K51" s="106">
        <f t="shared" si="4"/>
        <v>0</v>
      </c>
      <c r="L51" t="s">
        <v>891</v>
      </c>
      <c r="M51" s="57"/>
      <c r="N51" s="57"/>
    </row>
    <row r="52" spans="1:14" ht="14.25">
      <c r="A52" s="54">
        <f t="shared" si="1"/>
        <v>21</v>
      </c>
      <c r="B52" s="627" t="s">
        <v>877</v>
      </c>
      <c r="C52" s="625" t="s">
        <v>878</v>
      </c>
      <c r="D52" s="626">
        <v>0</v>
      </c>
      <c r="E52" s="77">
        <f t="shared" ref="E52:E60" si="5">+D52-K52</f>
        <v>0</v>
      </c>
      <c r="G52" s="106"/>
      <c r="I52" s="106"/>
      <c r="J52" s="106"/>
      <c r="K52" s="106">
        <f t="shared" ref="K52:K54" si="6">+G52+I52+J52</f>
        <v>0</v>
      </c>
      <c r="L52" t="s">
        <v>114</v>
      </c>
      <c r="M52" s="57"/>
      <c r="N52" s="57"/>
    </row>
    <row r="53" spans="1:14" ht="14.25">
      <c r="A53" s="54">
        <f t="shared" si="1"/>
        <v>22</v>
      </c>
      <c r="B53" s="627" t="s">
        <v>879</v>
      </c>
      <c r="C53" s="625" t="s">
        <v>880</v>
      </c>
      <c r="D53" s="626">
        <v>3256656.75</v>
      </c>
      <c r="E53" s="77">
        <f t="shared" si="5"/>
        <v>0</v>
      </c>
      <c r="G53" s="106"/>
      <c r="I53" s="81">
        <f t="shared" ref="I53:I54" si="7">D53</f>
        <v>3256656.75</v>
      </c>
      <c r="J53" s="106"/>
      <c r="K53" s="106">
        <f t="shared" si="6"/>
        <v>3256656.75</v>
      </c>
      <c r="L53" t="s">
        <v>892</v>
      </c>
      <c r="M53" s="57"/>
      <c r="N53" s="57"/>
    </row>
    <row r="54" spans="1:14" ht="14.25">
      <c r="A54" s="54">
        <f t="shared" si="1"/>
        <v>23</v>
      </c>
      <c r="B54" s="627" t="s">
        <v>881</v>
      </c>
      <c r="C54" s="625" t="s">
        <v>882</v>
      </c>
      <c r="D54" s="626">
        <v>87696.1</v>
      </c>
      <c r="E54" s="77">
        <f t="shared" si="5"/>
        <v>0</v>
      </c>
      <c r="G54" s="81"/>
      <c r="I54" s="81">
        <f t="shared" si="7"/>
        <v>87696.1</v>
      </c>
      <c r="J54" s="81"/>
      <c r="K54" s="106">
        <f t="shared" si="6"/>
        <v>87696.1</v>
      </c>
      <c r="L54" t="s">
        <v>594</v>
      </c>
      <c r="M54" s="57"/>
      <c r="N54" s="57"/>
    </row>
    <row r="55" spans="1:14" ht="14.25">
      <c r="A55" s="54">
        <f t="shared" si="1"/>
        <v>24</v>
      </c>
      <c r="B55" s="627">
        <v>1650024</v>
      </c>
      <c r="C55" s="625" t="s">
        <v>1219</v>
      </c>
      <c r="D55" s="626">
        <v>30514285.84</v>
      </c>
      <c r="E55" s="77">
        <f t="shared" si="5"/>
        <v>30514285.84</v>
      </c>
      <c r="G55" s="81"/>
      <c r="I55" s="81"/>
      <c r="J55" s="81"/>
      <c r="K55" s="106">
        <f t="shared" ref="K55:K60" si="8">J55</f>
        <v>0</v>
      </c>
      <c r="L55" t="s">
        <v>1220</v>
      </c>
      <c r="M55" s="57"/>
      <c r="N55" s="57"/>
    </row>
    <row r="56" spans="1:14" ht="14.25">
      <c r="A56" s="54">
        <f t="shared" si="1"/>
        <v>25</v>
      </c>
      <c r="B56" s="627" t="s">
        <v>883</v>
      </c>
      <c r="C56" s="625" t="s">
        <v>884</v>
      </c>
      <c r="D56" s="626">
        <v>175936113.472</v>
      </c>
      <c r="E56" s="77">
        <f t="shared" ref="E56:E59" si="9">+D56-K56</f>
        <v>0</v>
      </c>
      <c r="G56" s="81"/>
      <c r="I56" s="81"/>
      <c r="J56" s="81">
        <f>D56</f>
        <v>175936113.472</v>
      </c>
      <c r="K56" s="106">
        <f t="shared" ref="K56:K57" si="10">J56</f>
        <v>175936113.472</v>
      </c>
      <c r="L56" t="s">
        <v>893</v>
      </c>
      <c r="M56" s="57"/>
      <c r="N56" s="57"/>
    </row>
    <row r="57" spans="1:14" ht="14.25">
      <c r="A57" s="54">
        <f t="shared" si="1"/>
        <v>26</v>
      </c>
      <c r="B57" s="627" t="s">
        <v>885</v>
      </c>
      <c r="C57" s="625" t="s">
        <v>886</v>
      </c>
      <c r="D57" s="626">
        <v>0</v>
      </c>
      <c r="E57" s="77">
        <f t="shared" si="9"/>
        <v>0</v>
      </c>
      <c r="G57" s="81"/>
      <c r="I57" s="81"/>
      <c r="J57" s="81"/>
      <c r="K57" s="106">
        <f t="shared" si="10"/>
        <v>0</v>
      </c>
      <c r="L57" t="s">
        <v>114</v>
      </c>
      <c r="M57" s="57"/>
      <c r="N57" s="57"/>
    </row>
    <row r="58" spans="1:14" ht="14.25">
      <c r="A58" s="54">
        <f t="shared" si="1"/>
        <v>27</v>
      </c>
      <c r="B58" s="627" t="s">
        <v>887</v>
      </c>
      <c r="C58" s="625" t="s">
        <v>888</v>
      </c>
      <c r="D58" s="626">
        <v>-175936113.47</v>
      </c>
      <c r="E58" s="77">
        <f t="shared" si="9"/>
        <v>-175936113.47</v>
      </c>
      <c r="G58" s="81"/>
      <c r="I58" s="81"/>
      <c r="J58" s="81"/>
      <c r="K58" s="106">
        <f>G58</f>
        <v>0</v>
      </c>
      <c r="L58" t="s">
        <v>960</v>
      </c>
      <c r="M58" s="57"/>
      <c r="N58" s="57"/>
    </row>
    <row r="59" spans="1:14" ht="14.25">
      <c r="A59" s="54">
        <f t="shared" si="1"/>
        <v>28</v>
      </c>
      <c r="B59" s="627" t="s">
        <v>1221</v>
      </c>
      <c r="C59" s="625" t="s">
        <v>1222</v>
      </c>
      <c r="D59" s="626">
        <v>1935672.53</v>
      </c>
      <c r="E59" s="77">
        <f t="shared" si="9"/>
        <v>1935672.53</v>
      </c>
      <c r="G59" s="81"/>
      <c r="I59" s="81"/>
      <c r="J59" s="81"/>
      <c r="K59" s="106">
        <f t="shared" ref="K59" si="11">J59</f>
        <v>0</v>
      </c>
      <c r="L59" t="s">
        <v>1225</v>
      </c>
      <c r="M59" s="57"/>
      <c r="N59" s="57"/>
    </row>
    <row r="60" spans="1:14" ht="14.25">
      <c r="A60" s="54">
        <f t="shared" si="1"/>
        <v>29</v>
      </c>
      <c r="B60" s="627" t="s">
        <v>1223</v>
      </c>
      <c r="C60" s="625" t="s">
        <v>1224</v>
      </c>
      <c r="D60" s="626">
        <v>4328571.42</v>
      </c>
      <c r="E60" s="77">
        <f t="shared" si="5"/>
        <v>4328571.42</v>
      </c>
      <c r="G60" s="81"/>
      <c r="I60" s="81"/>
      <c r="J60" s="81"/>
      <c r="K60" s="106">
        <f t="shared" si="8"/>
        <v>0</v>
      </c>
      <c r="L60" t="s">
        <v>1226</v>
      </c>
      <c r="M60" s="57"/>
      <c r="N60" s="57"/>
    </row>
    <row r="61" spans="1:14" ht="13.5" customHeight="1">
      <c r="A61" s="54">
        <f t="shared" si="1"/>
        <v>30</v>
      </c>
      <c r="B61" s="627"/>
      <c r="C61" s="625"/>
      <c r="D61" s="626"/>
      <c r="E61" s="77"/>
      <c r="G61" s="81"/>
      <c r="I61" s="81"/>
      <c r="J61" s="81"/>
      <c r="K61" s="106"/>
      <c r="L61"/>
      <c r="M61" s="57"/>
      <c r="N61" s="57"/>
    </row>
    <row r="62" spans="1:14" ht="15" thickBot="1">
      <c r="A62" s="54">
        <f t="shared" si="1"/>
        <v>31</v>
      </c>
      <c r="B62" s="627"/>
      <c r="C62" s="625"/>
      <c r="D62" s="626"/>
      <c r="E62" s="77"/>
      <c r="G62" s="81"/>
      <c r="I62" s="81"/>
      <c r="J62" s="81"/>
      <c r="K62" s="106"/>
      <c r="L62"/>
      <c r="M62" s="57"/>
      <c r="N62" s="57"/>
    </row>
    <row r="63" spans="1:14" ht="14.25">
      <c r="B63" s="109"/>
      <c r="C63" s="23" t="s">
        <v>503</v>
      </c>
      <c r="D63" s="628">
        <f>SUM(D41:D62)</f>
        <v>45468575.799999997</v>
      </c>
      <c r="E63" s="181">
        <f>SUM(E41:E62)</f>
        <v>-280941089.84999996</v>
      </c>
      <c r="G63" s="114">
        <f>SUM(G41:G62)</f>
        <v>0</v>
      </c>
      <c r="I63" s="114">
        <f>SUM(I41:I62)</f>
        <v>6876993.4179999996</v>
      </c>
      <c r="J63" s="114">
        <f>SUM(J41:J62)</f>
        <v>319532672.23199999</v>
      </c>
      <c r="K63" s="114">
        <f>SUM(K41:K62)</f>
        <v>326409665.64999998</v>
      </c>
      <c r="L63"/>
      <c r="M63" s="57"/>
      <c r="N63" s="57"/>
    </row>
    <row r="64" spans="1:14">
      <c r="K64" s="48"/>
      <c r="L64"/>
      <c r="M64" s="57"/>
      <c r="N64" s="57"/>
    </row>
    <row r="65" spans="1:15">
      <c r="B65"/>
      <c r="C65"/>
      <c r="D65"/>
      <c r="E65"/>
      <c r="F65"/>
      <c r="G65"/>
      <c r="H65"/>
      <c r="I65"/>
      <c r="J65"/>
      <c r="K65"/>
      <c r="L65"/>
      <c r="M65"/>
      <c r="N65"/>
      <c r="O65"/>
    </row>
    <row r="66" spans="1:15" ht="18">
      <c r="B66" s="1280" t="str">
        <f>"Prepayments Account 165 - Balance @ 12/31/"&amp;D68&amp;""</f>
        <v>Prepayments Account 165 - Balance @ 12/31/2024</v>
      </c>
      <c r="C66" s="1280"/>
      <c r="D66" s="1280"/>
      <c r="E66" s="1280"/>
      <c r="F66" s="1280"/>
      <c r="G66" s="1280"/>
      <c r="H66" s="1280"/>
      <c r="I66" s="1280"/>
      <c r="J66" s="1280"/>
      <c r="K66" s="63"/>
      <c r="L66" s="64"/>
      <c r="M66" s="57"/>
      <c r="N66"/>
      <c r="O66"/>
    </row>
    <row r="67" spans="1:15">
      <c r="B67" s="192"/>
      <c r="C67" s="193"/>
      <c r="D67" s="194"/>
      <c r="E67" s="7"/>
      <c r="G67" s="7" t="s">
        <v>87</v>
      </c>
      <c r="I67" s="5" t="s">
        <v>115</v>
      </c>
      <c r="J67" s="5" t="s">
        <v>115</v>
      </c>
      <c r="K67" s="5" t="s">
        <v>179</v>
      </c>
      <c r="L67"/>
      <c r="M67" s="57"/>
      <c r="N67"/>
      <c r="O67"/>
    </row>
    <row r="68" spans="1:15">
      <c r="B68" s="192"/>
      <c r="C68" s="195"/>
      <c r="D68" s="5" t="str">
        <f>""&amp;TCOS!L4-1</f>
        <v>2024</v>
      </c>
      <c r="E68" s="5" t="s">
        <v>530</v>
      </c>
      <c r="G68" s="5" t="s">
        <v>115</v>
      </c>
      <c r="I68" s="5" t="s">
        <v>523</v>
      </c>
      <c r="J68" s="5" t="s">
        <v>161</v>
      </c>
      <c r="K68" s="5" t="s">
        <v>180</v>
      </c>
      <c r="L68"/>
      <c r="M68" s="57"/>
      <c r="N68"/>
      <c r="O68"/>
    </row>
    <row r="69" spans="1:15">
      <c r="A69" s="54">
        <f>A62+1</f>
        <v>32</v>
      </c>
      <c r="B69" s="9" t="s">
        <v>90</v>
      </c>
      <c r="C69" s="9" t="s">
        <v>167</v>
      </c>
      <c r="D69" s="9" t="s">
        <v>88</v>
      </c>
      <c r="E69" s="9" t="s">
        <v>502</v>
      </c>
      <c r="G69" s="9" t="s">
        <v>524</v>
      </c>
      <c r="I69" s="9" t="s">
        <v>524</v>
      </c>
      <c r="J69" s="9" t="s">
        <v>524</v>
      </c>
      <c r="K69" s="9" t="s">
        <v>525</v>
      </c>
      <c r="L69" s="9" t="s">
        <v>39</v>
      </c>
      <c r="M69" s="57"/>
      <c r="N69"/>
      <c r="O69"/>
    </row>
    <row r="70" spans="1:15">
      <c r="B70" s="109"/>
      <c r="C70" s="111"/>
      <c r="D70" s="111"/>
      <c r="E70" s="111"/>
      <c r="G70" s="111"/>
      <c r="I70" s="111"/>
      <c r="J70" s="111"/>
      <c r="K70" s="111"/>
      <c r="L70"/>
      <c r="M70" s="57"/>
      <c r="N70"/>
      <c r="O70"/>
    </row>
    <row r="71" spans="1:15" ht="14.25">
      <c r="A71" s="54">
        <f>+A69+1</f>
        <v>33</v>
      </c>
      <c r="B71" s="624" t="s">
        <v>864</v>
      </c>
      <c r="C71" s="625" t="s">
        <v>865</v>
      </c>
      <c r="D71" s="626">
        <v>3515056.7480000001</v>
      </c>
      <c r="E71" s="77">
        <f>+D71-K71</f>
        <v>0</v>
      </c>
      <c r="G71" s="81"/>
      <c r="I71" s="81">
        <f>D71</f>
        <v>3515056.7480000001</v>
      </c>
      <c r="J71" s="81"/>
      <c r="K71" s="81">
        <f t="shared" ref="K71:K84" si="12">+G71+I71+J71</f>
        <v>3515056.7480000001</v>
      </c>
      <c r="L71" t="s">
        <v>531</v>
      </c>
      <c r="M71" s="57"/>
      <c r="N71"/>
      <c r="O71"/>
    </row>
    <row r="72" spans="1:15" ht="14.25">
      <c r="A72" s="54">
        <f t="shared" ref="A72:A93" si="13">+A71+1</f>
        <v>34</v>
      </c>
      <c r="B72" s="627" t="s">
        <v>1210</v>
      </c>
      <c r="C72" s="625" t="s">
        <v>866</v>
      </c>
      <c r="D72" s="626">
        <v>0</v>
      </c>
      <c r="E72" s="77">
        <f t="shared" ref="E72:E90" si="14">+D72-K72</f>
        <v>0</v>
      </c>
      <c r="G72" s="81"/>
      <c r="I72" s="81"/>
      <c r="J72" s="81"/>
      <c r="K72" s="81">
        <f t="shared" si="12"/>
        <v>0</v>
      </c>
      <c r="M72" s="57"/>
      <c r="N72"/>
      <c r="O72"/>
    </row>
    <row r="73" spans="1:15" ht="14.25">
      <c r="A73" s="54">
        <f t="shared" si="13"/>
        <v>35</v>
      </c>
      <c r="B73" s="627" t="s">
        <v>1211</v>
      </c>
      <c r="C73" s="625" t="s">
        <v>866</v>
      </c>
      <c r="D73" s="626">
        <v>0</v>
      </c>
      <c r="E73" s="77">
        <f t="shared" si="14"/>
        <v>0</v>
      </c>
      <c r="G73" s="81"/>
      <c r="I73" s="81"/>
      <c r="J73" s="81"/>
      <c r="K73" s="81">
        <f t="shared" si="12"/>
        <v>0</v>
      </c>
      <c r="L73" s="53" t="s">
        <v>1063</v>
      </c>
      <c r="M73" s="57"/>
      <c r="N73"/>
      <c r="O73"/>
    </row>
    <row r="74" spans="1:15" ht="14.25">
      <c r="A74" s="54">
        <f t="shared" si="13"/>
        <v>36</v>
      </c>
      <c r="B74" s="627" t="s">
        <v>1212</v>
      </c>
      <c r="C74" s="625" t="s">
        <v>866</v>
      </c>
      <c r="D74" s="626">
        <v>0</v>
      </c>
      <c r="E74" s="77">
        <f t="shared" si="14"/>
        <v>0</v>
      </c>
      <c r="G74" s="81"/>
      <c r="I74" s="81"/>
      <c r="J74" s="81"/>
      <c r="K74" s="81">
        <f t="shared" si="12"/>
        <v>0</v>
      </c>
      <c r="L74" s="53" t="s">
        <v>949</v>
      </c>
      <c r="M74" s="57"/>
      <c r="N74"/>
      <c r="O74"/>
    </row>
    <row r="75" spans="1:15" ht="14.25">
      <c r="A75" s="54">
        <f t="shared" si="13"/>
        <v>37</v>
      </c>
      <c r="B75" s="986" t="s">
        <v>867</v>
      </c>
      <c r="C75" s="625" t="s">
        <v>868</v>
      </c>
      <c r="D75" s="626">
        <v>17775</v>
      </c>
      <c r="E75" s="77">
        <f t="shared" si="14"/>
        <v>17775</v>
      </c>
      <c r="G75" s="81"/>
      <c r="I75" s="81"/>
      <c r="J75" s="81"/>
      <c r="K75" s="81">
        <f t="shared" si="12"/>
        <v>0</v>
      </c>
      <c r="L75" s="4" t="s">
        <v>868</v>
      </c>
      <c r="M75" s="57"/>
      <c r="N75"/>
      <c r="O75"/>
    </row>
    <row r="76" spans="1:15" ht="14.25">
      <c r="A76" s="54">
        <f t="shared" si="13"/>
        <v>38</v>
      </c>
      <c r="B76" s="624" t="s">
        <v>869</v>
      </c>
      <c r="C76" s="625" t="s">
        <v>870</v>
      </c>
      <c r="D76" s="626">
        <v>710210.67</v>
      </c>
      <c r="E76" s="77">
        <f t="shared" si="14"/>
        <v>710210.67</v>
      </c>
      <c r="G76" s="106"/>
      <c r="I76" s="106"/>
      <c r="J76" s="106"/>
      <c r="K76" s="106">
        <f t="shared" si="12"/>
        <v>0</v>
      </c>
      <c r="L76" t="s">
        <v>958</v>
      </c>
      <c r="M76" s="57"/>
      <c r="N76"/>
      <c r="O76"/>
    </row>
    <row r="77" spans="1:15" ht="14.25">
      <c r="A77" s="54">
        <f t="shared" si="13"/>
        <v>39</v>
      </c>
      <c r="B77" s="624" t="s">
        <v>871</v>
      </c>
      <c r="C77" s="625" t="s">
        <v>872</v>
      </c>
      <c r="D77" s="626">
        <v>510185.69</v>
      </c>
      <c r="E77" s="77">
        <f t="shared" si="14"/>
        <v>510185.69</v>
      </c>
      <c r="G77" s="81"/>
      <c r="I77" s="81"/>
      <c r="J77" s="81"/>
      <c r="K77" s="106">
        <f t="shared" si="12"/>
        <v>0</v>
      </c>
      <c r="L77" t="s">
        <v>889</v>
      </c>
      <c r="M77" s="57"/>
      <c r="N77"/>
      <c r="O77"/>
    </row>
    <row r="78" spans="1:15" ht="14.25">
      <c r="A78" s="54">
        <f t="shared" si="13"/>
        <v>40</v>
      </c>
      <c r="B78" s="986" t="s">
        <v>947</v>
      </c>
      <c r="C78" s="625" t="s">
        <v>948</v>
      </c>
      <c r="D78" s="626">
        <v>0</v>
      </c>
      <c r="E78" s="77">
        <f t="shared" si="14"/>
        <v>0</v>
      </c>
      <c r="G78" s="81"/>
      <c r="I78" s="81"/>
      <c r="J78" s="81"/>
      <c r="K78" s="106">
        <f t="shared" si="12"/>
        <v>0</v>
      </c>
      <c r="L78" s="4" t="s">
        <v>950</v>
      </c>
      <c r="M78" s="57"/>
      <c r="N78"/>
      <c r="O78"/>
    </row>
    <row r="79" spans="1:15" ht="14.25">
      <c r="A79" s="54">
        <f t="shared" si="13"/>
        <v>41</v>
      </c>
      <c r="B79" s="926" t="s">
        <v>873</v>
      </c>
      <c r="C79" s="625" t="s">
        <v>890</v>
      </c>
      <c r="D79" s="626">
        <v>141718170.59999999</v>
      </c>
      <c r="E79" s="77">
        <f t="shared" si="14"/>
        <v>0</v>
      </c>
      <c r="G79" s="81"/>
      <c r="I79" s="81"/>
      <c r="J79" s="81">
        <f>D79</f>
        <v>141718170.59999999</v>
      </c>
      <c r="K79" s="106">
        <f t="shared" si="12"/>
        <v>141718170.59999999</v>
      </c>
      <c r="L79" s="4" t="s">
        <v>959</v>
      </c>
      <c r="M79" s="57"/>
      <c r="N79"/>
      <c r="O79"/>
    </row>
    <row r="80" spans="1:15" ht="14.25">
      <c r="A80" s="54">
        <f t="shared" si="13"/>
        <v>42</v>
      </c>
      <c r="B80" s="926" t="s">
        <v>875</v>
      </c>
      <c r="C80" s="625" t="s">
        <v>876</v>
      </c>
      <c r="D80" s="626">
        <v>-141718170.59999999</v>
      </c>
      <c r="E80" s="77">
        <f t="shared" si="14"/>
        <v>-141718170.59999999</v>
      </c>
      <c r="G80" s="106"/>
      <c r="I80" s="106"/>
      <c r="J80" s="106"/>
      <c r="K80" s="106">
        <f t="shared" si="12"/>
        <v>0</v>
      </c>
      <c r="L80" t="s">
        <v>960</v>
      </c>
      <c r="M80" s="57"/>
      <c r="N80"/>
      <c r="O80"/>
    </row>
    <row r="81" spans="1:15" ht="14.25">
      <c r="A81" s="54">
        <f t="shared" si="13"/>
        <v>43</v>
      </c>
      <c r="B81" s="627">
        <v>165001224</v>
      </c>
      <c r="C81" s="625" t="s">
        <v>874</v>
      </c>
      <c r="D81" s="626">
        <v>46057</v>
      </c>
      <c r="E81" s="77">
        <f t="shared" si="14"/>
        <v>46057</v>
      </c>
      <c r="G81" s="106"/>
      <c r="I81" s="106"/>
      <c r="J81" s="106"/>
      <c r="K81" s="106">
        <f t="shared" si="12"/>
        <v>0</v>
      </c>
      <c r="L81" t="s">
        <v>891</v>
      </c>
      <c r="M81" s="57"/>
      <c r="N81"/>
      <c r="O81"/>
    </row>
    <row r="82" spans="1:15" ht="14.25">
      <c r="A82" s="54">
        <f t="shared" si="13"/>
        <v>44</v>
      </c>
      <c r="B82" s="627" t="s">
        <v>877</v>
      </c>
      <c r="C82" s="625" t="s">
        <v>878</v>
      </c>
      <c r="D82" s="626">
        <v>0</v>
      </c>
      <c r="E82" s="77">
        <f t="shared" si="14"/>
        <v>0</v>
      </c>
      <c r="G82" s="106"/>
      <c r="I82" s="106"/>
      <c r="J82" s="106"/>
      <c r="K82" s="106">
        <f t="shared" si="12"/>
        <v>0</v>
      </c>
      <c r="L82" t="s">
        <v>114</v>
      </c>
      <c r="M82" s="57"/>
      <c r="N82"/>
      <c r="O82"/>
    </row>
    <row r="83" spans="1:15" ht="14.25">
      <c r="A83" s="54">
        <f t="shared" si="13"/>
        <v>45</v>
      </c>
      <c r="B83" s="627" t="s">
        <v>879</v>
      </c>
      <c r="C83" s="625" t="s">
        <v>880</v>
      </c>
      <c r="D83" s="626">
        <v>3053818.13</v>
      </c>
      <c r="E83" s="77">
        <f t="shared" si="14"/>
        <v>0</v>
      </c>
      <c r="G83" s="106"/>
      <c r="I83" s="81">
        <f t="shared" ref="I83:I84" si="15">D83</f>
        <v>3053818.13</v>
      </c>
      <c r="J83" s="106"/>
      <c r="K83" s="106">
        <f t="shared" si="12"/>
        <v>3053818.13</v>
      </c>
      <c r="L83" t="s">
        <v>892</v>
      </c>
      <c r="M83" s="57"/>
      <c r="N83"/>
      <c r="O83"/>
    </row>
    <row r="84" spans="1:15" ht="14.25">
      <c r="A84" s="54">
        <f t="shared" si="13"/>
        <v>46</v>
      </c>
      <c r="B84" s="627" t="s">
        <v>881</v>
      </c>
      <c r="C84" s="625" t="s">
        <v>882</v>
      </c>
      <c r="D84" s="626">
        <v>326702.28000000003</v>
      </c>
      <c r="E84" s="77">
        <f t="shared" si="14"/>
        <v>0</v>
      </c>
      <c r="G84" s="81"/>
      <c r="I84" s="81">
        <f t="shared" si="15"/>
        <v>326702.28000000003</v>
      </c>
      <c r="J84" s="81"/>
      <c r="K84" s="106">
        <f t="shared" si="12"/>
        <v>326702.28000000003</v>
      </c>
      <c r="L84" t="s">
        <v>594</v>
      </c>
      <c r="M84" s="57"/>
      <c r="N84"/>
      <c r="O84"/>
    </row>
    <row r="85" spans="1:15" ht="14.25">
      <c r="A85" s="54">
        <f t="shared" si="13"/>
        <v>47</v>
      </c>
      <c r="B85" s="627">
        <v>1650024</v>
      </c>
      <c r="C85" s="625" t="s">
        <v>1219</v>
      </c>
      <c r="D85" s="626">
        <v>35500000.060000002</v>
      </c>
      <c r="E85" s="77">
        <f t="shared" si="14"/>
        <v>35500000.060000002</v>
      </c>
      <c r="G85" s="81"/>
      <c r="I85" s="81"/>
      <c r="J85" s="81"/>
      <c r="K85" s="106">
        <f t="shared" ref="K85:K87" si="16">J85</f>
        <v>0</v>
      </c>
      <c r="L85" t="s">
        <v>1220</v>
      </c>
      <c r="M85" s="57"/>
      <c r="N85"/>
      <c r="O85"/>
    </row>
    <row r="86" spans="1:15" ht="14.25">
      <c r="A86" s="54">
        <f t="shared" si="13"/>
        <v>48</v>
      </c>
      <c r="B86" s="627" t="s">
        <v>883</v>
      </c>
      <c r="C86" s="625" t="s">
        <v>884</v>
      </c>
      <c r="D86" s="626">
        <v>164240806.442</v>
      </c>
      <c r="E86" s="77">
        <f t="shared" si="14"/>
        <v>0</v>
      </c>
      <c r="G86" s="81"/>
      <c r="I86" s="81"/>
      <c r="J86" s="81">
        <f>D86</f>
        <v>164240806.442</v>
      </c>
      <c r="K86" s="106">
        <f t="shared" si="16"/>
        <v>164240806.442</v>
      </c>
      <c r="L86" t="s">
        <v>893</v>
      </c>
      <c r="M86" s="57"/>
      <c r="N86"/>
      <c r="O86"/>
    </row>
    <row r="87" spans="1:15" ht="14.25">
      <c r="A87" s="54">
        <f t="shared" si="13"/>
        <v>49</v>
      </c>
      <c r="B87" s="627" t="s">
        <v>885</v>
      </c>
      <c r="C87" s="625" t="s">
        <v>886</v>
      </c>
      <c r="D87" s="626">
        <v>0</v>
      </c>
      <c r="E87" s="77">
        <f t="shared" si="14"/>
        <v>0</v>
      </c>
      <c r="G87" s="81"/>
      <c r="I87" s="81"/>
      <c r="J87" s="81"/>
      <c r="K87" s="106">
        <f t="shared" si="16"/>
        <v>0</v>
      </c>
      <c r="L87" t="s">
        <v>114</v>
      </c>
      <c r="M87" s="57"/>
      <c r="N87"/>
      <c r="O87"/>
    </row>
    <row r="88" spans="1:15" ht="14.25">
      <c r="A88" s="54">
        <f>A87+1</f>
        <v>50</v>
      </c>
      <c r="B88" s="627" t="s">
        <v>887</v>
      </c>
      <c r="C88" s="625" t="s">
        <v>888</v>
      </c>
      <c r="D88" s="626">
        <v>-164240806.44</v>
      </c>
      <c r="E88" s="77">
        <f t="shared" si="14"/>
        <v>-164240806.44</v>
      </c>
      <c r="G88" s="81"/>
      <c r="I88" s="81"/>
      <c r="J88" s="81"/>
      <c r="K88" s="106">
        <f>G88</f>
        <v>0</v>
      </c>
      <c r="L88" t="s">
        <v>960</v>
      </c>
      <c r="M88" s="57"/>
      <c r="N88"/>
      <c r="O88"/>
    </row>
    <row r="89" spans="1:15" ht="14.25">
      <c r="A89" s="54">
        <f>A88+1</f>
        <v>51</v>
      </c>
      <c r="B89" s="627" t="s">
        <v>1221</v>
      </c>
      <c r="C89" s="625" t="s">
        <v>1222</v>
      </c>
      <c r="D89" s="626">
        <v>1918028.1099999999</v>
      </c>
      <c r="E89" s="77">
        <f t="shared" si="14"/>
        <v>1918028.1099999999</v>
      </c>
      <c r="G89" s="81"/>
      <c r="I89" s="81"/>
      <c r="J89" s="81"/>
      <c r="K89" s="106">
        <f t="shared" ref="K89:K90" si="17">J89</f>
        <v>0</v>
      </c>
      <c r="L89" t="s">
        <v>1225</v>
      </c>
      <c r="M89" s="57"/>
      <c r="N89"/>
      <c r="O89"/>
    </row>
    <row r="90" spans="1:15" ht="14.25">
      <c r="A90" s="54">
        <f>A89+1</f>
        <v>52</v>
      </c>
      <c r="B90" s="627" t="s">
        <v>1223</v>
      </c>
      <c r="C90" s="625" t="s">
        <v>1224</v>
      </c>
      <c r="D90" s="626">
        <v>1949999.98</v>
      </c>
      <c r="E90" s="77">
        <f t="shared" si="14"/>
        <v>1949999.98</v>
      </c>
      <c r="G90" s="81"/>
      <c r="I90" s="81"/>
      <c r="J90" s="81"/>
      <c r="K90" s="106">
        <f t="shared" si="17"/>
        <v>0</v>
      </c>
      <c r="L90" t="s">
        <v>1226</v>
      </c>
      <c r="M90" s="57"/>
      <c r="N90"/>
      <c r="O90"/>
    </row>
    <row r="91" spans="1:15" ht="14.25">
      <c r="A91" s="54">
        <f>A90+1</f>
        <v>53</v>
      </c>
      <c r="B91" s="627"/>
      <c r="C91" s="625"/>
      <c r="D91" s="626"/>
      <c r="E91" s="77"/>
      <c r="G91" s="81"/>
      <c r="I91" s="81"/>
      <c r="J91" s="81"/>
      <c r="K91" s="106"/>
      <c r="L91"/>
      <c r="M91" s="57"/>
      <c r="N91"/>
      <c r="O91"/>
    </row>
    <row r="92" spans="1:15" ht="14.25">
      <c r="A92" s="54">
        <f t="shared" si="13"/>
        <v>54</v>
      </c>
      <c r="B92" s="627"/>
      <c r="C92" s="625"/>
      <c r="D92" s="626"/>
      <c r="E92" s="77"/>
      <c r="G92" s="81"/>
      <c r="I92" s="81"/>
      <c r="J92" s="81"/>
      <c r="K92" s="106"/>
      <c r="L92"/>
      <c r="M92" s="57"/>
      <c r="N92"/>
      <c r="O92"/>
    </row>
    <row r="93" spans="1:15" ht="14.25">
      <c r="A93" s="54">
        <f t="shared" si="13"/>
        <v>55</v>
      </c>
      <c r="B93" s="627"/>
      <c r="C93" s="625"/>
      <c r="D93" s="626"/>
      <c r="E93" s="77"/>
      <c r="G93" s="81"/>
      <c r="I93" s="81"/>
      <c r="J93" s="81"/>
      <c r="K93" s="106"/>
      <c r="L93"/>
      <c r="M93" s="57"/>
      <c r="N93"/>
      <c r="O93"/>
    </row>
    <row r="94" spans="1:15" ht="14.25">
      <c r="B94" s="627"/>
      <c r="C94" s="625"/>
      <c r="D94" s="626"/>
      <c r="E94" s="106"/>
      <c r="G94" s="81"/>
      <c r="I94" s="81"/>
      <c r="J94" s="81"/>
      <c r="K94" s="106"/>
      <c r="L94"/>
      <c r="M94" s="57"/>
      <c r="N94"/>
      <c r="O94"/>
    </row>
    <row r="95" spans="1:15" ht="13.5" thickBot="1">
      <c r="B95" s="18"/>
      <c r="C95" s="18"/>
      <c r="D95" s="106"/>
      <c r="E95" s="77"/>
      <c r="G95" s="81"/>
      <c r="I95" s="81"/>
      <c r="J95" s="81"/>
      <c r="K95" s="81"/>
      <c r="L95"/>
      <c r="M95" s="57"/>
      <c r="N95"/>
      <c r="O95"/>
    </row>
    <row r="96" spans="1:15" ht="14.25">
      <c r="B96" s="109"/>
      <c r="C96" s="23" t="s">
        <v>383</v>
      </c>
      <c r="D96" s="628">
        <f>IF(SUM(D71:D95)=0,"",SUM(D71:D95))</f>
        <v>47547833.670000009</v>
      </c>
      <c r="E96" s="181">
        <f>IF(SUM(E71:E95)=0,"",SUM(E71:E95))</f>
        <v>-265306720.53</v>
      </c>
      <c r="G96" s="114" t="str">
        <f>IF(SUM(G71:G95)=0,"",SUM(G71:G95))</f>
        <v/>
      </c>
      <c r="I96" s="114">
        <f>IF(SUM(I71:I95)=0,"",SUM(I71:I95))</f>
        <v>6895577.1580000008</v>
      </c>
      <c r="J96" s="114">
        <f>IF(SUM(J71:J95)=0,"",SUM(J71:J95))</f>
        <v>305958977.042</v>
      </c>
      <c r="K96" s="114">
        <f>IF(SUM(K71:K95)=0,"",SUM(K71:K95))</f>
        <v>312854554.19999999</v>
      </c>
      <c r="L96"/>
      <c r="M96" s="57"/>
      <c r="N96"/>
      <c r="O96"/>
    </row>
    <row r="97" spans="1:15">
      <c r="B97" s="54"/>
      <c r="C97"/>
      <c r="D97"/>
      <c r="E97"/>
      <c r="F97"/>
      <c r="G97"/>
      <c r="H97"/>
      <c r="I97"/>
      <c r="J97"/>
      <c r="K97"/>
      <c r="L97"/>
      <c r="M97"/>
      <c r="N97"/>
      <c r="O97"/>
    </row>
    <row r="98" spans="1:15" ht="18.75" customHeight="1">
      <c r="A98" s="54" t="s">
        <v>629</v>
      </c>
      <c r="B98" s="1260" t="s">
        <v>819</v>
      </c>
      <c r="C98" s="1260"/>
      <c r="D98" s="1260"/>
      <c r="E98" s="1260"/>
      <c r="F98" s="1260"/>
      <c r="G98" s="1260"/>
      <c r="H98" s="1260"/>
      <c r="I98" s="1260"/>
      <c r="J98" s="1260"/>
      <c r="K98" s="1260"/>
      <c r="L98" s="1260"/>
      <c r="M98"/>
      <c r="N98"/>
      <c r="O98"/>
    </row>
    <row r="99" spans="1:15" ht="18.75" customHeight="1">
      <c r="A99" s="4"/>
      <c r="B99" s="1260"/>
      <c r="C99" s="1260"/>
      <c r="D99" s="1260"/>
      <c r="E99" s="1260"/>
      <c r="F99" s="1260"/>
      <c r="G99" s="1260"/>
      <c r="H99" s="1260"/>
      <c r="I99" s="1260"/>
      <c r="J99" s="1260"/>
      <c r="K99" s="1260"/>
      <c r="L99" s="1260"/>
      <c r="M99"/>
      <c r="N99"/>
      <c r="O99"/>
    </row>
    <row r="100" spans="1:15" ht="18">
      <c r="E100" s="666"/>
      <c r="F100" s="666"/>
      <c r="G100" s="666"/>
      <c r="H100" s="666"/>
      <c r="I100" s="666"/>
      <c r="J100" s="666"/>
      <c r="K100" s="666"/>
      <c r="L100" s="64"/>
      <c r="M100" s="57"/>
      <c r="N100" s="57"/>
    </row>
    <row r="101" spans="1:15" ht="12.75" customHeight="1">
      <c r="E101" s="5"/>
      <c r="G101" s="5"/>
      <c r="H101" s="57"/>
      <c r="I101" s="57"/>
    </row>
    <row r="102" spans="1:15">
      <c r="E102" s="5"/>
      <c r="G102" s="5"/>
      <c r="H102"/>
      <c r="I102"/>
      <c r="J102"/>
    </row>
    <row r="103" spans="1:15">
      <c r="E103" s="9"/>
      <c r="G103" s="9"/>
      <c r="H103"/>
      <c r="I103"/>
      <c r="J103"/>
    </row>
    <row r="104" spans="1:15">
      <c r="E104"/>
      <c r="F104"/>
      <c r="G104"/>
      <c r="H104"/>
      <c r="I104"/>
      <c r="J104"/>
      <c r="K104"/>
      <c r="L104"/>
      <c r="M104"/>
      <c r="N104"/>
      <c r="O104"/>
    </row>
    <row r="105" spans="1:15">
      <c r="E105"/>
      <c r="F105"/>
      <c r="G105"/>
      <c r="H105"/>
      <c r="I105"/>
      <c r="J105"/>
      <c r="K105"/>
      <c r="L105"/>
      <c r="M105"/>
      <c r="N105"/>
      <c r="O105"/>
    </row>
    <row r="106" spans="1:15">
      <c r="E106"/>
      <c r="F106"/>
      <c r="G106"/>
      <c r="H106"/>
      <c r="I106"/>
      <c r="J106"/>
      <c r="K106"/>
      <c r="L106"/>
      <c r="M106"/>
      <c r="N106"/>
      <c r="O106"/>
    </row>
    <row r="107" spans="1:15">
      <c r="A107"/>
      <c r="B107"/>
      <c r="C107"/>
      <c r="D107"/>
      <c r="E107"/>
      <c r="F107"/>
      <c r="G107"/>
      <c r="H107"/>
      <c r="I107"/>
      <c r="J107"/>
      <c r="K107"/>
      <c r="L107"/>
      <c r="M107"/>
      <c r="N107"/>
      <c r="O107"/>
    </row>
    <row r="108" spans="1:15">
      <c r="A108"/>
      <c r="B108"/>
      <c r="C108"/>
      <c r="D108"/>
      <c r="E108"/>
      <c r="F108"/>
      <c r="G108"/>
      <c r="H108"/>
      <c r="I108"/>
      <c r="J108"/>
      <c r="K108"/>
      <c r="L108"/>
      <c r="M108"/>
      <c r="N108"/>
      <c r="O108"/>
    </row>
    <row r="109" spans="1:15">
      <c r="A109"/>
      <c r="B109"/>
      <c r="C109"/>
      <c r="D109"/>
      <c r="E109"/>
      <c r="F109"/>
      <c r="G109"/>
      <c r="H109"/>
      <c r="I109"/>
      <c r="J109"/>
      <c r="K109"/>
      <c r="L109"/>
      <c r="M109"/>
      <c r="N109"/>
      <c r="O109"/>
    </row>
    <row r="110" spans="1:15">
      <c r="A110"/>
      <c r="B110"/>
      <c r="C110"/>
      <c r="D110"/>
      <c r="E110"/>
      <c r="F110"/>
      <c r="G110"/>
      <c r="H110"/>
      <c r="I110"/>
      <c r="J110"/>
      <c r="K110"/>
      <c r="L110"/>
      <c r="M110"/>
      <c r="N110"/>
      <c r="O110"/>
    </row>
    <row r="111" spans="1:15">
      <c r="A111"/>
      <c r="B111"/>
      <c r="C111"/>
      <c r="D111"/>
      <c r="E111"/>
      <c r="F111"/>
      <c r="G111"/>
      <c r="H111"/>
      <c r="I111"/>
      <c r="J111"/>
      <c r="K111"/>
      <c r="L111"/>
      <c r="M111"/>
      <c r="N111"/>
      <c r="O111"/>
    </row>
    <row r="112" spans="1:15">
      <c r="A112"/>
      <c r="B112"/>
      <c r="C112"/>
      <c r="D112"/>
      <c r="E112"/>
      <c r="F112"/>
      <c r="G112"/>
      <c r="H112"/>
      <c r="I112"/>
      <c r="J112"/>
      <c r="K112"/>
      <c r="L112"/>
      <c r="M112"/>
      <c r="N112"/>
      <c r="O112"/>
    </row>
    <row r="113" spans="1:15">
      <c r="A113"/>
      <c r="B113"/>
      <c r="C113"/>
      <c r="D113"/>
      <c r="E113"/>
      <c r="F113"/>
      <c r="G113"/>
      <c r="H113"/>
      <c r="I113"/>
      <c r="J113"/>
      <c r="K113"/>
      <c r="L113"/>
      <c r="M113"/>
      <c r="N113"/>
      <c r="O113"/>
    </row>
    <row r="114" spans="1:15">
      <c r="A114"/>
      <c r="B114"/>
      <c r="C114"/>
      <c r="D114"/>
      <c r="E114"/>
      <c r="F114"/>
      <c r="G114"/>
      <c r="H114"/>
      <c r="I114"/>
      <c r="J114"/>
      <c r="K114"/>
      <c r="L114"/>
      <c r="M114"/>
      <c r="N114"/>
      <c r="O114"/>
    </row>
    <row r="115" spans="1:15">
      <c r="A115"/>
      <c r="B115"/>
      <c r="C115"/>
      <c r="D115"/>
      <c r="E115"/>
      <c r="F115"/>
      <c r="G115"/>
      <c r="H115"/>
      <c r="I115"/>
      <c r="J115"/>
      <c r="K115"/>
      <c r="L115"/>
      <c r="M115"/>
      <c r="N115"/>
      <c r="O115"/>
    </row>
    <row r="116" spans="1:15">
      <c r="A116"/>
      <c r="B116"/>
      <c r="C116"/>
      <c r="D116"/>
      <c r="E116"/>
      <c r="F116"/>
      <c r="G116"/>
      <c r="H116"/>
      <c r="I116"/>
      <c r="J116"/>
      <c r="K116"/>
      <c r="L116"/>
      <c r="M116"/>
      <c r="N116"/>
      <c r="O116"/>
    </row>
    <row r="117" spans="1:15">
      <c r="A117"/>
      <c r="B117"/>
      <c r="C117"/>
      <c r="D117"/>
      <c r="E117"/>
      <c r="F117"/>
      <c r="G117"/>
      <c r="H117"/>
      <c r="I117"/>
      <c r="J117"/>
      <c r="K117"/>
      <c r="L117"/>
      <c r="M117"/>
      <c r="N117"/>
      <c r="O117"/>
    </row>
    <row r="118" spans="1:15">
      <c r="A118"/>
      <c r="B118"/>
      <c r="C118"/>
      <c r="D118"/>
      <c r="E118"/>
      <c r="F118"/>
      <c r="G118"/>
      <c r="H118"/>
      <c r="I118"/>
      <c r="J118"/>
      <c r="K118"/>
      <c r="L118"/>
      <c r="M118"/>
      <c r="N118"/>
      <c r="O118"/>
    </row>
    <row r="119" spans="1:15">
      <c r="A119"/>
      <c r="B119"/>
      <c r="C119"/>
      <c r="D119"/>
      <c r="E119"/>
      <c r="F119"/>
      <c r="G119"/>
      <c r="H119"/>
      <c r="I119"/>
      <c r="J119"/>
      <c r="K119"/>
      <c r="L119"/>
      <c r="M119"/>
      <c r="N119"/>
      <c r="O119"/>
    </row>
    <row r="120" spans="1:15">
      <c r="A120"/>
      <c r="B120"/>
      <c r="C120"/>
      <c r="D120"/>
      <c r="E120"/>
      <c r="F120"/>
      <c r="G120"/>
      <c r="H120"/>
      <c r="I120"/>
      <c r="J120"/>
      <c r="K120"/>
      <c r="L120"/>
      <c r="M120"/>
      <c r="N120"/>
      <c r="O120"/>
    </row>
    <row r="121" spans="1:15">
      <c r="A121"/>
      <c r="B121"/>
      <c r="C121"/>
      <c r="D121"/>
      <c r="E121"/>
      <c r="F121"/>
      <c r="G121"/>
      <c r="H121"/>
      <c r="I121"/>
      <c r="J121"/>
      <c r="K121"/>
      <c r="L121"/>
      <c r="M121"/>
      <c r="N121"/>
      <c r="O121"/>
    </row>
    <row r="122" spans="1:15">
      <c r="A122"/>
      <c r="B122"/>
      <c r="C122"/>
      <c r="D122"/>
      <c r="E122"/>
      <c r="F122"/>
      <c r="G122"/>
      <c r="H122"/>
      <c r="I122"/>
      <c r="J122"/>
      <c r="K122"/>
      <c r="L122"/>
      <c r="M122"/>
      <c r="N122"/>
      <c r="O122"/>
    </row>
    <row r="123" spans="1:15">
      <c r="A123"/>
      <c r="B123"/>
      <c r="C123"/>
      <c r="D123"/>
      <c r="E123"/>
      <c r="F123"/>
      <c r="G123"/>
      <c r="H123"/>
      <c r="I123"/>
      <c r="J123"/>
      <c r="K123"/>
      <c r="L123"/>
      <c r="M123"/>
      <c r="N123"/>
      <c r="O123"/>
    </row>
    <row r="124" spans="1:15">
      <c r="A124"/>
      <c r="B124"/>
      <c r="C124"/>
      <c r="D124"/>
      <c r="E124"/>
      <c r="F124"/>
      <c r="G124"/>
      <c r="H124"/>
      <c r="I124"/>
      <c r="J124"/>
      <c r="K124"/>
      <c r="L124"/>
      <c r="M124"/>
      <c r="N124"/>
      <c r="O124"/>
    </row>
    <row r="125" spans="1:15">
      <c r="A125"/>
      <c r="B125"/>
      <c r="C125"/>
      <c r="D125"/>
      <c r="E125"/>
      <c r="F125"/>
      <c r="G125"/>
      <c r="H125"/>
      <c r="I125"/>
      <c r="J125"/>
      <c r="K125"/>
      <c r="L125"/>
      <c r="M125"/>
      <c r="N125"/>
      <c r="O125"/>
    </row>
    <row r="126" spans="1:15">
      <c r="A126"/>
      <c r="B126"/>
      <c r="C126"/>
      <c r="D126"/>
      <c r="E126"/>
      <c r="F126"/>
      <c r="G126"/>
      <c r="H126"/>
      <c r="I126"/>
      <c r="J126"/>
      <c r="K126"/>
      <c r="L126"/>
      <c r="M126"/>
      <c r="N126"/>
      <c r="O126"/>
    </row>
    <row r="127" spans="1:15">
      <c r="A127"/>
      <c r="B127"/>
      <c r="C127"/>
      <c r="D127"/>
      <c r="E127"/>
      <c r="F127"/>
      <c r="G127"/>
      <c r="H127"/>
      <c r="I127"/>
      <c r="J127"/>
      <c r="K127"/>
      <c r="L127"/>
      <c r="M127"/>
      <c r="N127"/>
      <c r="O127"/>
    </row>
    <row r="128" spans="1:15">
      <c r="A128"/>
      <c r="B128"/>
      <c r="C128"/>
      <c r="D128"/>
      <c r="E128"/>
      <c r="F128"/>
      <c r="G128"/>
      <c r="H128"/>
      <c r="I128"/>
      <c r="J128"/>
      <c r="K128"/>
      <c r="L128"/>
      <c r="M128"/>
      <c r="N128"/>
      <c r="O128"/>
    </row>
    <row r="129" spans="1:15">
      <c r="A129"/>
      <c r="B129"/>
      <c r="C129"/>
      <c r="D129"/>
      <c r="E129"/>
      <c r="F129"/>
      <c r="G129"/>
      <c r="H129"/>
      <c r="I129"/>
      <c r="J129"/>
      <c r="K129"/>
      <c r="L129"/>
      <c r="M129"/>
      <c r="N129"/>
      <c r="O129"/>
    </row>
    <row r="130" spans="1:15">
      <c r="A130"/>
      <c r="B130"/>
      <c r="C130"/>
      <c r="D130"/>
      <c r="E130"/>
      <c r="F130"/>
      <c r="G130"/>
      <c r="H130"/>
      <c r="I130"/>
      <c r="J130"/>
      <c r="K130"/>
      <c r="L130"/>
      <c r="M130"/>
      <c r="N130"/>
      <c r="O130"/>
    </row>
    <row r="131" spans="1:15">
      <c r="A131"/>
      <c r="B131"/>
      <c r="C131"/>
      <c r="D131"/>
      <c r="E131"/>
      <c r="F131"/>
      <c r="G131"/>
      <c r="H131"/>
      <c r="I131"/>
      <c r="J131"/>
      <c r="K131"/>
      <c r="L131"/>
      <c r="M131"/>
      <c r="N131"/>
      <c r="O131"/>
    </row>
    <row r="132" spans="1:15">
      <c r="A132"/>
      <c r="B132"/>
      <c r="C132"/>
      <c r="D132"/>
      <c r="E132"/>
      <c r="F132"/>
      <c r="G132"/>
      <c r="H132"/>
      <c r="I132"/>
      <c r="J132"/>
      <c r="K132"/>
      <c r="L132"/>
      <c r="M132"/>
      <c r="N132"/>
      <c r="O132"/>
    </row>
    <row r="133" spans="1:15">
      <c r="A133"/>
      <c r="B133"/>
      <c r="C133"/>
      <c r="D133"/>
      <c r="E133"/>
      <c r="F133"/>
      <c r="G133"/>
      <c r="H133"/>
      <c r="I133"/>
      <c r="J133"/>
      <c r="K133"/>
      <c r="L133"/>
      <c r="M133"/>
      <c r="N133"/>
      <c r="O133"/>
    </row>
    <row r="134" spans="1:15">
      <c r="A134"/>
      <c r="B134"/>
      <c r="C134"/>
      <c r="D134"/>
      <c r="E134"/>
      <c r="F134"/>
      <c r="G134"/>
      <c r="H134"/>
      <c r="I134"/>
      <c r="J134"/>
      <c r="K134"/>
      <c r="L134"/>
      <c r="M134"/>
      <c r="N134"/>
      <c r="O134"/>
    </row>
    <row r="135" spans="1:15">
      <c r="A135"/>
      <c r="B135"/>
      <c r="C135"/>
      <c r="D135"/>
      <c r="E135"/>
      <c r="F135"/>
      <c r="G135"/>
      <c r="H135"/>
      <c r="I135"/>
      <c r="J135"/>
      <c r="K135"/>
      <c r="L135"/>
      <c r="M135"/>
      <c r="N135"/>
      <c r="O135"/>
    </row>
    <row r="136" spans="1:15">
      <c r="A136"/>
      <c r="B136"/>
      <c r="C136"/>
      <c r="D136"/>
      <c r="E136"/>
      <c r="F136"/>
      <c r="G136"/>
      <c r="H136"/>
      <c r="I136"/>
      <c r="J136"/>
      <c r="K136"/>
      <c r="L136"/>
      <c r="M136"/>
      <c r="N136"/>
      <c r="O136"/>
    </row>
    <row r="137" spans="1:15">
      <c r="A137"/>
      <c r="B137"/>
      <c r="C137"/>
      <c r="D137"/>
      <c r="E137"/>
      <c r="F137"/>
      <c r="G137"/>
      <c r="H137"/>
      <c r="I137"/>
      <c r="J137"/>
      <c r="K137"/>
      <c r="L137"/>
      <c r="M137"/>
      <c r="N137"/>
      <c r="O137"/>
    </row>
    <row r="138" spans="1:15">
      <c r="A138"/>
      <c r="B138"/>
      <c r="C138"/>
      <c r="D138"/>
      <c r="E138"/>
      <c r="F138"/>
      <c r="G138"/>
      <c r="H138"/>
      <c r="I138"/>
      <c r="J138"/>
      <c r="K138"/>
      <c r="L138"/>
      <c r="M138"/>
      <c r="N138"/>
      <c r="O138"/>
    </row>
    <row r="139" spans="1:15">
      <c r="A139"/>
      <c r="B139"/>
      <c r="C139"/>
      <c r="D139"/>
      <c r="E139"/>
      <c r="F139"/>
      <c r="G139"/>
      <c r="H139"/>
      <c r="I139"/>
      <c r="J139"/>
      <c r="K139"/>
      <c r="L139"/>
      <c r="M139"/>
      <c r="N139"/>
      <c r="O139"/>
    </row>
    <row r="140" spans="1:15">
      <c r="A140"/>
      <c r="B140"/>
      <c r="C140"/>
      <c r="D140"/>
      <c r="E140"/>
      <c r="F140"/>
      <c r="G140"/>
      <c r="H140"/>
      <c r="I140"/>
      <c r="J140"/>
      <c r="K140"/>
      <c r="L140"/>
      <c r="M140"/>
      <c r="N140"/>
      <c r="O140"/>
    </row>
    <row r="141" spans="1:15">
      <c r="A141"/>
      <c r="B141"/>
      <c r="C141"/>
      <c r="D141"/>
      <c r="E141"/>
      <c r="F141"/>
      <c r="G141"/>
      <c r="H141"/>
      <c r="I141"/>
      <c r="J141"/>
      <c r="K141"/>
      <c r="L141"/>
      <c r="M141"/>
      <c r="N141"/>
      <c r="O141"/>
    </row>
    <row r="142" spans="1:15">
      <c r="A142"/>
      <c r="B142"/>
      <c r="C142"/>
      <c r="D142"/>
      <c r="E142"/>
      <c r="F142"/>
      <c r="G142"/>
      <c r="H142"/>
      <c r="I142"/>
      <c r="J142"/>
      <c r="K142"/>
      <c r="L142"/>
      <c r="M142"/>
      <c r="N142"/>
      <c r="O142"/>
    </row>
  </sheetData>
  <mergeCells count="12">
    <mergeCell ref="B10:K10"/>
    <mergeCell ref="A3:L3"/>
    <mergeCell ref="A4:L4"/>
    <mergeCell ref="A5:L5"/>
    <mergeCell ref="A6:L6"/>
    <mergeCell ref="B98:L99"/>
    <mergeCell ref="B66:J66"/>
    <mergeCell ref="B26:K26"/>
    <mergeCell ref="E12:E13"/>
    <mergeCell ref="I12:I13"/>
    <mergeCell ref="B36:J36"/>
    <mergeCell ref="G12:G13"/>
  </mergeCells>
  <phoneticPr fontId="6" type="noConversion"/>
  <pageMargins left="1.08" right="0.75" top="1" bottom="0.41" header="0.86" footer="0.27"/>
  <pageSetup scale="37" orientation="landscape" r:id="rId1"/>
  <headerFooter alignWithMargins="0">
    <oddHeader>&amp;R&amp;"Arial,Bold"Formula Rate
&amp;A
Page &amp;P of &amp;N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OWMwYjhkNy1iZGI0LTRmZDMtYjYyYS1mNTAzMjdhYWVmY2UiIG9yaWdpbj0idXNlclNlbGVjdGVkIj48ZWxlbWVudCB1aWQ9IjUwYzMxODI0LTA3ODAtNDkxMC04N2QxLWVhYWZmZDE4MmQ0MiIgdmFsdWU9IiIgeG1sbnM9Imh0dHA6Ly93d3cuYm9sZG9uamFtZXMuY29tLzIwMDgvMDEvc2llL2ludGVybmFsL2xhYmVsIiAvPjwvc2lzbD48VXNlck5hbWU+Q09SUFxzMjczNjg5PC9Vc2VyTmFtZT48RGF0ZVRpbWU+My8yNC8yMDIyIDI6MDk6MDIgUE08L0RhdGVUaW1lPjxMYWJlbFN0cmluZz5BRVAgSW50ZXJuYWw8L0xhYmVsU3RyaW5nPjwvaXRlbT48aXRlbT48c2lzbCBzaXNsVmVyc2lvbj0iMCIgcG9saWN5PSJlOWMwYjhkNy1iZGI0LTRmZDMtYjYyYS1mNTAzMjdhYWVmY2UiIG9yaWdpbj0idXNlclNlbGVjdGVkIj48ZWxlbWVudCB1aWQ9IjUwYzMxODI0LTA3ODAtNDkxMC04N2QxLWVhYWZmZDE4MmQ0MiIgdmFsdWU9IiIgeG1sbnM9Imh0dHA6Ly93d3cuYm9sZG9uamFtZXMuY29tLzIwMDgvMDEvc2llL2ludGVybmFsL2xhYmVsIiAvPjxlbGVtZW50IHVpZD0iZDE0ZjVjMzYtZjQ0YS00MzE1LWI0MzgtMDA1Y2ZlOGYwNjlmIiB2YWx1ZT0iIiB4bWxucz0iaHR0cDovL3d3dy5ib2xkb25qYW1lcy5jb20vMjAwOC8wMS9zaWUvaW50ZXJuYWwvbGFiZWwiIC8+PC9zaXNsPjxVc2VyTmFtZT5DT1JQXHMyNzM2ODk8L1VzZXJOYW1lPjxEYXRlVGltZT41LzIwLzIwMjQgMTE6NDI6MjIgQU08L0RhdGVUaW1lPjxMYWJlbFN0cmluZz5BRVAgSW50ZXJuYWw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e9c0b8d7-bdb4-4fd3-b62a-f50327aaefce" origin="userSelected">
  <element uid="50c31824-0780-4910-87d1-eaaffd182d42" value=""/>
  <element uid="d14f5c36-f44a-4315-b438-005cfe8f069f" value=""/>
</sisl>
</file>

<file path=customXml/itemProps1.xml><?xml version="1.0" encoding="utf-8"?>
<ds:datastoreItem xmlns:ds="http://schemas.openxmlformats.org/officeDocument/2006/customXml" ds:itemID="{1F51BBF6-AB72-49D8-89AD-E36E67CA58AA}">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3E570F06-0F76-4F95-B361-E509EE0219B3}">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31</vt:i4>
      </vt:variant>
      <vt:variant>
        <vt:lpstr>Named Ranges</vt:lpstr>
      </vt:variant>
      <vt:variant>
        <vt:i4>5</vt:i4>
      </vt:variant>
    </vt:vector>
  </HeadingPairs>
  <TitlesOfParts>
    <vt:vector size="36" baseType="lpstr">
      <vt:lpstr>TCOS</vt:lpstr>
      <vt:lpstr>WS A - RB Support</vt:lpstr>
      <vt:lpstr>WS B ADIT &amp; ITC</vt:lpstr>
      <vt:lpstr>WS B-1 - Actual Stmt. AF</vt:lpstr>
      <vt:lpstr>WS B-2 - Actual Stmt. AG</vt:lpstr>
      <vt:lpstr>WS B-3</vt:lpstr>
      <vt:lpstr>WS B-3-A</vt:lpstr>
      <vt:lpstr>WS B-3-B</vt:lpstr>
      <vt:lpstr>WS C  - Working Capital</vt:lpstr>
      <vt:lpstr>WS D IPP Credits</vt:lpstr>
      <vt:lpstr>WS E Rev Credits</vt:lpstr>
      <vt:lpstr>WS F Misc Exp</vt:lpstr>
      <vt:lpstr>WS G  State Tax Rate</vt:lpstr>
      <vt:lpstr>WS H Other Taxes</vt:lpstr>
      <vt:lpstr>WS H-1-Detail of Tax Amts</vt:lpstr>
      <vt:lpstr>WS I Reserved</vt:lpstr>
      <vt:lpstr>WS J PROJECTED RTEP RR</vt:lpstr>
      <vt:lpstr>WS K TRUE-UP RTEP RR</vt:lpstr>
      <vt:lpstr>WS L Reserved</vt:lpstr>
      <vt:lpstr>WS M - Cost of Capital</vt:lpstr>
      <vt:lpstr>WS N - Sale of Plant Held</vt:lpstr>
      <vt:lpstr>WS O - PBOP</vt:lpstr>
      <vt:lpstr>APCo - WS P Dep. Rates</vt:lpstr>
      <vt:lpstr>IMC - WS P Dep. Rates</vt:lpstr>
      <vt:lpstr>KGP - WS P Dep. Rates</vt:lpstr>
      <vt:lpstr>KPC - WS P Dep. Rates</vt:lpstr>
      <vt:lpstr>OPC - WS P Dep. Rates</vt:lpstr>
      <vt:lpstr>WPC-WS P Dep. Rates</vt:lpstr>
      <vt:lpstr>WS Q NITS</vt:lpstr>
      <vt:lpstr>WS Q Schedule 12</vt:lpstr>
      <vt:lpstr>WSQ Schedule 1A</vt:lpstr>
      <vt:lpstr>TCOS!Print_Area</vt:lpstr>
      <vt:lpstr>'WS B-3'!Print_Area</vt:lpstr>
      <vt:lpstr>'WS B-3-A'!Print_Area</vt:lpstr>
      <vt:lpstr>'WS G  State Tax Rate'!Print_Area</vt:lpstr>
      <vt:lpstr>'WS O - PBOP'!Print_Area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_</dc:title>
  <dc:creator/>
  <cp:keywords/>
  <cp:lastModifiedBy/>
  <cp:lastPrinted>1601-01-01T00:00:00Z</cp:lastPrinted>
  <dcterms:created xsi:type="dcterms:W3CDTF">1601-01-01T00:00:00Z</dcterms:created>
  <dcterms:modified xsi:type="dcterms:W3CDTF">2026-05-22T11:26:57Z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63a95d46-b7b4-433d-bcb6-b3185541e002</vt:lpwstr>
  </property>
  <property fmtid="{D5CDD505-2E9C-101B-9397-08002B2CF9AE}" pid="3" name="bjSaver">
    <vt:lpwstr>HTegTYUHA5Eno747PWutbmINAXeRHZsu</vt:lpwstr>
  </property>
  <property fmtid="{D5CDD505-2E9C-101B-9397-08002B2CF9AE}" pid="4" name="bjClsUserRVM">
    <vt:lpwstr>[]</vt:lpwstr>
  </property>
  <property fmtid="{D5CDD505-2E9C-101B-9397-08002B2CF9AE}" pid="5" name="bjDocumentLabelXML">
    <vt:lpwstr>&lt;?xml version="1.0" encoding="us-ascii"?&gt;&lt;sisl xmlns:xsd="http://www.w3.org/2001/XMLSchema" xmlns:xsi="http://www.w3.org/2001/XMLSchema-instance" sislVersion="0" policy="e9c0b8d7-bdb4-4fd3-b62a-f50327aaefce" origin="userSelected" xmlns="http://www.boldonj</vt:lpwstr>
  </property>
  <property fmtid="{D5CDD505-2E9C-101B-9397-08002B2CF9AE}" pid="6" name="bjDocumentLabelXML-0">
    <vt:lpwstr>ames.com/2008/01/sie/internal/label"&gt;&lt;element uid="50c31824-0780-4910-87d1-eaaffd182d42" value="" /&gt;&lt;element uid="d14f5c36-f44a-4315-b438-005cfe8f069f" value="" /&gt;&lt;/sisl&gt;</vt:lpwstr>
  </property>
  <property fmtid="{D5CDD505-2E9C-101B-9397-08002B2CF9AE}" pid="7" name="bjDocumentSecurityLabel">
    <vt:lpwstr>AEP Internal</vt:lpwstr>
  </property>
  <property fmtid="{D5CDD505-2E9C-101B-9397-08002B2CF9AE}" pid="8" name="MSIP_Label_69f43042-6bda-44b2-91eb-eca3d3d484f4_SiteId">
    <vt:lpwstr>15f3c881-6b03-4ff6-8559-77bf5177818f</vt:lpwstr>
  </property>
  <property fmtid="{D5CDD505-2E9C-101B-9397-08002B2CF9AE}" pid="9" name="MSIP_Label_69f43042-6bda-44b2-91eb-eca3d3d484f4_Name">
    <vt:lpwstr>AEP Internal</vt:lpwstr>
  </property>
  <property fmtid="{D5CDD505-2E9C-101B-9397-08002B2CF9AE}" pid="10" name="MSIP_Label_69f43042-6bda-44b2-91eb-eca3d3d484f4_Enabled">
    <vt:lpwstr>true</vt:lpwstr>
  </property>
  <property fmtid="{D5CDD505-2E9C-101B-9397-08002B2CF9AE}" pid="11" name="bjLabelHistoryID">
    <vt:lpwstr>{1F51BBF6-AB72-49D8-89AD-E36E67CA58AA}</vt:lpwstr>
  </property>
</Properties>
</file>